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v\Box\SPS_Proposals_Angie\Psychology_Angie\Templates\"/>
    </mc:Choice>
  </mc:AlternateContent>
  <xr:revisionPtr revIDLastSave="0" documentId="13_ncr:1_{DE436272-5407-469A-A31C-F066F9F96F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Travel" sheetId="5" r:id="rId2"/>
    <sheet name="Participant Support" sheetId="12" state="hidden" r:id="rId3"/>
    <sheet name="Cost Share" sheetId="16" r:id="rId4"/>
    <sheet name="Other Costs" sheetId="7" r:id="rId5"/>
    <sheet name="Subaward 1" sheetId="9" r:id="rId6"/>
    <sheet name="Subaward 2" sheetId="10" r:id="rId7"/>
    <sheet name="Subaward 3" sheetId="11" state="hidden" r:id="rId8"/>
    <sheet name="Subaward 4" sheetId="13" state="hidden" r:id="rId9"/>
    <sheet name="Subaward 5" sheetId="14" state="hidden" r:id="rId10"/>
  </sheets>
  <definedNames>
    <definedName name="_xlnm.Print_Area" localSheetId="0">Budget!$A$1:$G$192</definedName>
    <definedName name="_xlnm.Print_Area" localSheetId="5">'Subaward 1'!$A$1:$G$131</definedName>
    <definedName name="_xlnm.Print_Area" localSheetId="6">'Subaward 2'!$A$1:$G$129</definedName>
    <definedName name="_xlnm.Print_Area" localSheetId="7">'Subaward 3'!$A$1:$G$129</definedName>
    <definedName name="_xlnm.Print_Area" localSheetId="8">'Subaward 4'!$A$1:$G$129</definedName>
    <definedName name="_xlnm.Print_Area" localSheetId="9">'Subaward 5'!$A$1:$G$129</definedName>
    <definedName name="solver_eng" localSheetId="0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neg" localSheetId="0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um" localSheetId="0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opt" localSheetId="0" hidden="1">Budget!$X$16</definedName>
    <definedName name="solver_opt" localSheetId="5" hidden="1">'Subaward 1'!$W$19</definedName>
    <definedName name="solver_opt" localSheetId="6" hidden="1">'Subaward 2'!$U$15</definedName>
    <definedName name="solver_opt" localSheetId="7" hidden="1">'Subaward 3'!$U$15</definedName>
    <definedName name="solver_opt" localSheetId="8" hidden="1">'Subaward 4'!$U$15</definedName>
    <definedName name="solver_opt" localSheetId="9" hidden="1">'Subaward 5'!$U$15</definedName>
    <definedName name="solver_typ" localSheetId="0" hidden="1">3</definedName>
    <definedName name="solver_typ" localSheetId="5" hidden="1">3</definedName>
    <definedName name="solver_typ" localSheetId="6" hidden="1">3</definedName>
    <definedName name="solver_typ" localSheetId="7" hidden="1">3</definedName>
    <definedName name="solver_typ" localSheetId="8" hidden="1">3</definedName>
    <definedName name="solver_typ" localSheetId="9" hidden="1">3</definedName>
    <definedName name="solver_val" localSheetId="0" hidden="1">185100</definedName>
    <definedName name="solver_val" localSheetId="5" hidden="1">185100</definedName>
    <definedName name="solver_val" localSheetId="6" hidden="1">185100</definedName>
    <definedName name="solver_val" localSheetId="7" hidden="1">185100</definedName>
    <definedName name="solver_val" localSheetId="8" hidden="1">185100</definedName>
    <definedName name="solver_val" localSheetId="9" hidden="1">185100</definedName>
    <definedName name="solver_ver" localSheetId="0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5" i="1" l="1"/>
  <c r="E145" i="1"/>
  <c r="D145" i="1"/>
  <c r="C145" i="1"/>
  <c r="B145" i="1"/>
  <c r="G145" i="1" l="1"/>
  <c r="E74" i="7" l="1"/>
  <c r="E73" i="7"/>
  <c r="E72" i="7"/>
  <c r="E71" i="7"/>
  <c r="E70" i="7"/>
  <c r="E69" i="7"/>
  <c r="E68" i="7"/>
  <c r="E67" i="7"/>
  <c r="E66" i="7"/>
  <c r="E65" i="7"/>
  <c r="E59" i="7"/>
  <c r="E58" i="7"/>
  <c r="E57" i="7"/>
  <c r="E56" i="7"/>
  <c r="E55" i="7"/>
  <c r="E54" i="7"/>
  <c r="E53" i="7"/>
  <c r="E52" i="7"/>
  <c r="E51" i="7"/>
  <c r="E50" i="7"/>
  <c r="E44" i="7"/>
  <c r="E43" i="7"/>
  <c r="E42" i="7"/>
  <c r="E41" i="7"/>
  <c r="E40" i="7"/>
  <c r="E39" i="7"/>
  <c r="E38" i="7"/>
  <c r="E37" i="7"/>
  <c r="E36" i="7"/>
  <c r="E35" i="7"/>
  <c r="E29" i="7"/>
  <c r="E28" i="7"/>
  <c r="E27" i="7"/>
  <c r="E26" i="7"/>
  <c r="E25" i="7"/>
  <c r="E24" i="7"/>
  <c r="E23" i="7"/>
  <c r="E22" i="7"/>
  <c r="E21" i="7"/>
  <c r="E20" i="7"/>
  <c r="E7" i="7"/>
  <c r="E6" i="7"/>
  <c r="W46" i="5"/>
  <c r="W47" i="5"/>
  <c r="W48" i="5"/>
  <c r="W49" i="5"/>
  <c r="W36" i="5"/>
  <c r="W37" i="5"/>
  <c r="W38" i="5"/>
  <c r="W39" i="5"/>
  <c r="W26" i="5"/>
  <c r="W27" i="5"/>
  <c r="W28" i="5"/>
  <c r="W29" i="5"/>
  <c r="W16" i="5"/>
  <c r="W17" i="5"/>
  <c r="W18" i="5"/>
  <c r="W19" i="5"/>
  <c r="W6" i="5"/>
  <c r="W7" i="5"/>
  <c r="W8" i="5"/>
  <c r="W9" i="5"/>
  <c r="W45" i="5"/>
  <c r="W35" i="5"/>
  <c r="W25" i="5"/>
  <c r="W15" i="5"/>
  <c r="W5" i="5"/>
  <c r="J46" i="5"/>
  <c r="J47" i="5"/>
  <c r="J48" i="5"/>
  <c r="J49" i="5"/>
  <c r="J36" i="5"/>
  <c r="J37" i="5"/>
  <c r="J38" i="5"/>
  <c r="J39" i="5"/>
  <c r="J26" i="5"/>
  <c r="J27" i="5"/>
  <c r="J28" i="5"/>
  <c r="J29" i="5"/>
  <c r="J16" i="5"/>
  <c r="J17" i="5"/>
  <c r="J18" i="5"/>
  <c r="J19" i="5"/>
  <c r="J6" i="5"/>
  <c r="J7" i="5"/>
  <c r="J8" i="5"/>
  <c r="J9" i="5"/>
  <c r="J45" i="5"/>
  <c r="J35" i="5"/>
  <c r="J25" i="5"/>
  <c r="J15" i="5"/>
  <c r="J5" i="5"/>
  <c r="U3" i="1" l="1"/>
  <c r="U3" i="16" s="1"/>
  <c r="U4" i="16"/>
  <c r="V83" i="1" l="1"/>
  <c r="V79" i="1"/>
  <c r="V75" i="1"/>
  <c r="V71" i="1"/>
  <c r="U2" i="16" l="1"/>
  <c r="K72" i="1"/>
  <c r="L72" i="1" s="1"/>
  <c r="M72" i="1" s="1"/>
  <c r="N72" i="1" s="1"/>
  <c r="K80" i="1"/>
  <c r="L80" i="1" s="1"/>
  <c r="K76" i="1"/>
  <c r="M80" i="1" l="1"/>
  <c r="L76" i="1"/>
  <c r="O82" i="1"/>
  <c r="B82" i="1" s="1"/>
  <c r="O78" i="1"/>
  <c r="B78" i="1" s="1"/>
  <c r="O74" i="1"/>
  <c r="B74" i="1" s="1"/>
  <c r="O70" i="1"/>
  <c r="B70" i="1" s="1"/>
  <c r="K68" i="1"/>
  <c r="L68" i="1" s="1"/>
  <c r="M68" i="1" s="1"/>
  <c r="N68" i="1" s="1"/>
  <c r="U2" i="1"/>
  <c r="N80" i="1" l="1"/>
  <c r="M76" i="1"/>
  <c r="J111" i="1"/>
  <c r="J107" i="1"/>
  <c r="J103" i="1"/>
  <c r="N76" i="1" l="1"/>
  <c r="A117" i="1"/>
  <c r="J55" i="16" l="1"/>
  <c r="J66" i="16" l="1"/>
  <c r="J65" i="16"/>
  <c r="J64" i="16"/>
  <c r="J61" i="16"/>
  <c r="J60" i="16"/>
  <c r="J59" i="16"/>
  <c r="T67" i="16"/>
  <c r="T62" i="16"/>
  <c r="J56" i="16"/>
  <c r="J54" i="16"/>
  <c r="U57" i="16"/>
  <c r="T57" i="16"/>
  <c r="V62" i="16" l="1"/>
  <c r="U62" i="16"/>
  <c r="V57" i="16"/>
  <c r="V67" i="16"/>
  <c r="U67" i="16"/>
  <c r="O4" i="16"/>
  <c r="J4" i="16"/>
  <c r="J6" i="1"/>
  <c r="K74" i="1" l="1"/>
  <c r="L74" i="1" s="1"/>
  <c r="M74" i="1" s="1"/>
  <c r="N74" i="1" s="1"/>
  <c r="K9" i="1"/>
  <c r="L9" i="1" s="1"/>
  <c r="M9" i="1" s="1"/>
  <c r="N9" i="1" s="1"/>
  <c r="K54" i="1"/>
  <c r="K54" i="16" s="1"/>
  <c r="A172" i="16"/>
  <c r="A170" i="16"/>
  <c r="G157" i="16"/>
  <c r="M152" i="16"/>
  <c r="L152" i="16"/>
  <c r="M150" i="16"/>
  <c r="L150" i="16"/>
  <c r="G150" i="16"/>
  <c r="N150" i="16"/>
  <c r="G148" i="16"/>
  <c r="L148" i="16"/>
  <c r="J148" i="16"/>
  <c r="L146" i="16"/>
  <c r="C153" i="16"/>
  <c r="M146" i="16"/>
  <c r="K144" i="16"/>
  <c r="L144" i="16"/>
  <c r="G140" i="16"/>
  <c r="F137" i="16"/>
  <c r="E137" i="16"/>
  <c r="D137" i="16"/>
  <c r="C137" i="16"/>
  <c r="B133" i="16"/>
  <c r="F133" i="16"/>
  <c r="F128" i="16"/>
  <c r="E128" i="16"/>
  <c r="D128" i="16"/>
  <c r="C128" i="16"/>
  <c r="B128" i="16"/>
  <c r="G127" i="16"/>
  <c r="G126" i="16"/>
  <c r="G125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F117" i="16"/>
  <c r="E117" i="16"/>
  <c r="D117" i="16"/>
  <c r="C117" i="16"/>
  <c r="B117" i="16"/>
  <c r="A117" i="16"/>
  <c r="A116" i="16"/>
  <c r="A115" i="16"/>
  <c r="A114" i="16"/>
  <c r="A113" i="16"/>
  <c r="O107" i="16"/>
  <c r="B108" i="16" s="1"/>
  <c r="O103" i="16"/>
  <c r="B104" i="16" s="1"/>
  <c r="O99" i="16"/>
  <c r="O96" i="16"/>
  <c r="B96" i="16" s="1"/>
  <c r="O95" i="16"/>
  <c r="B95" i="16" s="1"/>
  <c r="O94" i="16"/>
  <c r="B94" i="16" s="1"/>
  <c r="J93" i="16"/>
  <c r="J92" i="16"/>
  <c r="O89" i="16"/>
  <c r="O88" i="16"/>
  <c r="B88" i="16" s="1"/>
  <c r="J87" i="16"/>
  <c r="J86" i="16"/>
  <c r="O83" i="16"/>
  <c r="O82" i="16"/>
  <c r="B82" i="16" s="1"/>
  <c r="J81" i="16"/>
  <c r="J80" i="16"/>
  <c r="O78" i="16"/>
  <c r="B78" i="16" s="1"/>
  <c r="J79" i="16" s="1"/>
  <c r="J77" i="16"/>
  <c r="O75" i="16"/>
  <c r="B75" i="16" s="1"/>
  <c r="J74" i="16"/>
  <c r="B72" i="16"/>
  <c r="J71" i="16"/>
  <c r="B69" i="16"/>
  <c r="J68" i="16"/>
  <c r="O65" i="16"/>
  <c r="O66" i="16" s="1"/>
  <c r="O64" i="16"/>
  <c r="J63" i="16"/>
  <c r="O60" i="16"/>
  <c r="O61" i="16" s="1"/>
  <c r="O59" i="16"/>
  <c r="J58" i="16"/>
  <c r="O55" i="16"/>
  <c r="O56" i="16" s="1"/>
  <c r="O54" i="16"/>
  <c r="J53" i="16"/>
  <c r="O51" i="16"/>
  <c r="B51" i="16" s="1"/>
  <c r="O50" i="16"/>
  <c r="B50" i="16" s="1"/>
  <c r="O49" i="16"/>
  <c r="B49" i="16" s="1"/>
  <c r="J48" i="16"/>
  <c r="O46" i="16"/>
  <c r="B46" i="16" s="1"/>
  <c r="O45" i="16"/>
  <c r="B45" i="16" s="1"/>
  <c r="O44" i="16"/>
  <c r="B44" i="16" s="1"/>
  <c r="J43" i="16"/>
  <c r="O41" i="16"/>
  <c r="B41" i="16" s="1"/>
  <c r="O40" i="16"/>
  <c r="B40" i="16" s="1"/>
  <c r="O39" i="16"/>
  <c r="B39" i="16" s="1"/>
  <c r="J38" i="16"/>
  <c r="O36" i="16"/>
  <c r="B36" i="16" s="1"/>
  <c r="O35" i="16"/>
  <c r="B35" i="16" s="1"/>
  <c r="O34" i="16"/>
  <c r="B34" i="16" s="1"/>
  <c r="J33" i="16"/>
  <c r="O31" i="16"/>
  <c r="B31" i="16" s="1"/>
  <c r="O30" i="16"/>
  <c r="B30" i="16" s="1"/>
  <c r="O29" i="16"/>
  <c r="B29" i="16" s="1"/>
  <c r="J28" i="16"/>
  <c r="O26" i="16"/>
  <c r="B26" i="16" s="1"/>
  <c r="O25" i="16"/>
  <c r="B25" i="16" s="1"/>
  <c r="O24" i="16"/>
  <c r="B24" i="16" s="1"/>
  <c r="J23" i="16"/>
  <c r="O21" i="16"/>
  <c r="B21" i="16" s="1"/>
  <c r="O20" i="16"/>
  <c r="B20" i="16" s="1"/>
  <c r="O19" i="16"/>
  <c r="B19" i="16" s="1"/>
  <c r="J18" i="16"/>
  <c r="O16" i="16"/>
  <c r="B16" i="16" s="1"/>
  <c r="O15" i="16"/>
  <c r="B15" i="16" s="1"/>
  <c r="O14" i="16"/>
  <c r="B14" i="16" s="1"/>
  <c r="J13" i="16"/>
  <c r="O11" i="16"/>
  <c r="B11" i="16" s="1"/>
  <c r="O10" i="16"/>
  <c r="B10" i="16" s="1"/>
  <c r="O9" i="16"/>
  <c r="B9" i="16" s="1"/>
  <c r="J8" i="16"/>
  <c r="Z6" i="16"/>
  <c r="J6" i="16"/>
  <c r="K30" i="16" s="1"/>
  <c r="Z5" i="16"/>
  <c r="P3" i="16"/>
  <c r="P4" i="16" s="1"/>
  <c r="P5" i="16" s="1"/>
  <c r="B83" i="16" l="1"/>
  <c r="O84" i="16"/>
  <c r="B84" i="16" s="1"/>
  <c r="B89" i="16"/>
  <c r="O90" i="16"/>
  <c r="B90" i="16" s="1"/>
  <c r="J91" i="16" s="1"/>
  <c r="G128" i="16"/>
  <c r="J17" i="16"/>
  <c r="J22" i="16"/>
  <c r="L54" i="1"/>
  <c r="J47" i="16"/>
  <c r="J27" i="16"/>
  <c r="J42" i="16"/>
  <c r="A104" i="16"/>
  <c r="G119" i="16"/>
  <c r="K11" i="16"/>
  <c r="C11" i="16" s="1"/>
  <c r="K31" i="16"/>
  <c r="K28" i="16" s="1"/>
  <c r="N148" i="16"/>
  <c r="K152" i="16"/>
  <c r="K19" i="16"/>
  <c r="L19" i="16" s="1"/>
  <c r="D19" i="16" s="1"/>
  <c r="K39" i="16"/>
  <c r="L39" i="16" s="1"/>
  <c r="D39" i="16" s="1"/>
  <c r="K44" i="16"/>
  <c r="C44" i="16" s="1"/>
  <c r="G152" i="16"/>
  <c r="K46" i="16"/>
  <c r="C46" i="16" s="1"/>
  <c r="K36" i="16"/>
  <c r="C36" i="16" s="1"/>
  <c r="G141" i="16"/>
  <c r="J152" i="16"/>
  <c r="K15" i="16"/>
  <c r="C15" i="16" s="1"/>
  <c r="G131" i="16"/>
  <c r="J144" i="16"/>
  <c r="N146" i="16"/>
  <c r="K146" i="16"/>
  <c r="M148" i="16"/>
  <c r="K10" i="16"/>
  <c r="C10" i="16" s="1"/>
  <c r="K51" i="16"/>
  <c r="L51" i="16" s="1"/>
  <c r="M51" i="16" s="1"/>
  <c r="N51" i="16" s="1"/>
  <c r="F51" i="16" s="1"/>
  <c r="C133" i="16"/>
  <c r="K148" i="16"/>
  <c r="N152" i="16"/>
  <c r="D133" i="16"/>
  <c r="G144" i="16"/>
  <c r="G146" i="16"/>
  <c r="J105" i="16"/>
  <c r="B171" i="16"/>
  <c r="J12" i="16"/>
  <c r="J52" i="16"/>
  <c r="J97" i="16"/>
  <c r="J32" i="16"/>
  <c r="J37" i="16"/>
  <c r="K9" i="16"/>
  <c r="L9" i="16" s="1"/>
  <c r="K20" i="16"/>
  <c r="C20" i="16" s="1"/>
  <c r="K41" i="16"/>
  <c r="L41" i="16" s="1"/>
  <c r="K49" i="16"/>
  <c r="L49" i="16" s="1"/>
  <c r="K82" i="16"/>
  <c r="C82" i="16" s="1"/>
  <c r="J150" i="16"/>
  <c r="G149" i="16"/>
  <c r="K96" i="16"/>
  <c r="L96" i="16" s="1"/>
  <c r="M96" i="16" s="1"/>
  <c r="K88" i="16"/>
  <c r="K83" i="16"/>
  <c r="L83" i="16" s="1"/>
  <c r="K50" i="16"/>
  <c r="K94" i="16"/>
  <c r="C94" i="16" s="1"/>
  <c r="K89" i="16"/>
  <c r="K108" i="16"/>
  <c r="L108" i="16" s="1"/>
  <c r="K78" i="16"/>
  <c r="K77" i="16" s="1"/>
  <c r="K75" i="16"/>
  <c r="K74" i="16" s="1"/>
  <c r="K72" i="16"/>
  <c r="K71" i="16" s="1"/>
  <c r="K69" i="16"/>
  <c r="K68" i="16" s="1"/>
  <c r="K104" i="16"/>
  <c r="C104" i="16" s="1"/>
  <c r="K95" i="16"/>
  <c r="K84" i="16"/>
  <c r="C84" i="16" s="1"/>
  <c r="K14" i="16"/>
  <c r="L14" i="16" s="1"/>
  <c r="D14" i="16" s="1"/>
  <c r="K25" i="16"/>
  <c r="C25" i="16" s="1"/>
  <c r="B100" i="16"/>
  <c r="A100" i="16"/>
  <c r="G118" i="16"/>
  <c r="K150" i="16"/>
  <c r="E133" i="16"/>
  <c r="A4" i="16"/>
  <c r="K16" i="16"/>
  <c r="C16" i="16" s="1"/>
  <c r="K24" i="16"/>
  <c r="C24" i="16" s="1"/>
  <c r="L30" i="16"/>
  <c r="M30" i="16" s="1"/>
  <c r="K35" i="16"/>
  <c r="L35" i="16" s="1"/>
  <c r="K100" i="16"/>
  <c r="L100" i="16" s="1"/>
  <c r="C155" i="16"/>
  <c r="M144" i="16"/>
  <c r="E153" i="16"/>
  <c r="E155" i="16" s="1"/>
  <c r="B153" i="16"/>
  <c r="B155" i="16" s="1"/>
  <c r="B137" i="16"/>
  <c r="G136" i="16"/>
  <c r="K21" i="16"/>
  <c r="C21" i="16" s="1"/>
  <c r="K29" i="16"/>
  <c r="C29" i="16" s="1"/>
  <c r="K40" i="16"/>
  <c r="K45" i="16"/>
  <c r="L45" i="16" s="1"/>
  <c r="D45" i="16" s="1"/>
  <c r="B114" i="16"/>
  <c r="J70" i="16"/>
  <c r="J73" i="16"/>
  <c r="J76" i="16"/>
  <c r="J85" i="16"/>
  <c r="K90" i="16"/>
  <c r="C90" i="16" s="1"/>
  <c r="J109" i="16"/>
  <c r="N144" i="16"/>
  <c r="F153" i="16"/>
  <c r="F155" i="16" s="1"/>
  <c r="F186" i="1" s="1"/>
  <c r="K26" i="16"/>
  <c r="L26" i="16" s="1"/>
  <c r="M26" i="16" s="1"/>
  <c r="E26" i="16" s="1"/>
  <c r="C30" i="16"/>
  <c r="K34" i="16"/>
  <c r="L34" i="16" s="1"/>
  <c r="M34" i="16" s="1"/>
  <c r="E34" i="16" s="1"/>
  <c r="B115" i="16"/>
  <c r="G117" i="16"/>
  <c r="J146" i="16"/>
  <c r="G145" i="16"/>
  <c r="G132" i="16"/>
  <c r="G143" i="16"/>
  <c r="G147" i="16"/>
  <c r="G151" i="16"/>
  <c r="D153" i="16"/>
  <c r="D155" i="16" s="1"/>
  <c r="A108" i="16"/>
  <c r="U2" i="14"/>
  <c r="U2" i="13"/>
  <c r="U2" i="11"/>
  <c r="U2" i="10"/>
  <c r="U2" i="9"/>
  <c r="C39" i="16" l="1"/>
  <c r="O148" i="16"/>
  <c r="L44" i="16"/>
  <c r="M44" i="16" s="1"/>
  <c r="E44" i="16" s="1"/>
  <c r="C31" i="16"/>
  <c r="K32" i="16" s="1"/>
  <c r="M54" i="1"/>
  <c r="L54" i="16"/>
  <c r="K48" i="16"/>
  <c r="L11" i="16"/>
  <c r="D11" i="16" s="1"/>
  <c r="L82" i="16"/>
  <c r="M82" i="16" s="1"/>
  <c r="N82" i="16" s="1"/>
  <c r="C51" i="16"/>
  <c r="L20" i="16"/>
  <c r="M20" i="16" s="1"/>
  <c r="L36" i="16"/>
  <c r="L33" i="16" s="1"/>
  <c r="L46" i="16"/>
  <c r="D46" i="16" s="1"/>
  <c r="C49" i="16"/>
  <c r="C96" i="16"/>
  <c r="C50" i="16"/>
  <c r="L16" i="16"/>
  <c r="D16" i="16" s="1"/>
  <c r="M39" i="16"/>
  <c r="N39" i="16" s="1"/>
  <c r="F39" i="16" s="1"/>
  <c r="L21" i="16"/>
  <c r="M21" i="16" s="1"/>
  <c r="N21" i="16" s="1"/>
  <c r="F21" i="16" s="1"/>
  <c r="L24" i="16"/>
  <c r="D24" i="16" s="1"/>
  <c r="O152" i="16"/>
  <c r="L84" i="16"/>
  <c r="D84" i="16" s="1"/>
  <c r="O144" i="16"/>
  <c r="C100" i="16"/>
  <c r="K101" i="16" s="1"/>
  <c r="M41" i="16"/>
  <c r="D41" i="16"/>
  <c r="M35" i="16"/>
  <c r="E35" i="16" s="1"/>
  <c r="D186" i="1"/>
  <c r="G133" i="16"/>
  <c r="E186" i="1"/>
  <c r="K8" i="16"/>
  <c r="L31" i="16"/>
  <c r="L28" i="16" s="1"/>
  <c r="C19" i="16"/>
  <c r="K22" i="16" s="1"/>
  <c r="K86" i="16"/>
  <c r="L104" i="16"/>
  <c r="C108" i="16"/>
  <c r="K109" i="16" s="1"/>
  <c r="O146" i="16"/>
  <c r="E51" i="16"/>
  <c r="C186" i="1"/>
  <c r="L10" i="16"/>
  <c r="M10" i="16" s="1"/>
  <c r="G137" i="16"/>
  <c r="B186" i="1"/>
  <c r="L90" i="16"/>
  <c r="D90" i="16" s="1"/>
  <c r="C41" i="16"/>
  <c r="L75" i="16"/>
  <c r="M75" i="16" s="1"/>
  <c r="L15" i="16"/>
  <c r="D15" i="16" s="1"/>
  <c r="C83" i="16"/>
  <c r="K93" i="16"/>
  <c r="L78" i="16"/>
  <c r="M78" i="16" s="1"/>
  <c r="C75" i="16"/>
  <c r="K76" i="16" s="1"/>
  <c r="K13" i="16"/>
  <c r="M100" i="16"/>
  <c r="D100" i="16"/>
  <c r="D108" i="16"/>
  <c r="M108" i="16"/>
  <c r="M83" i="16"/>
  <c r="D83" i="16"/>
  <c r="M9" i="16"/>
  <c r="D9" i="16"/>
  <c r="K105" i="16"/>
  <c r="N96" i="16"/>
  <c r="F96" i="16" s="1"/>
  <c r="E96" i="16"/>
  <c r="D34" i="16"/>
  <c r="D96" i="16"/>
  <c r="L69" i="16"/>
  <c r="N26" i="16"/>
  <c r="F26" i="16" s="1"/>
  <c r="D35" i="16"/>
  <c r="K38" i="16"/>
  <c r="C40" i="16"/>
  <c r="O150" i="16"/>
  <c r="B172" i="16"/>
  <c r="N30" i="16"/>
  <c r="D30" i="16"/>
  <c r="L72" i="16"/>
  <c r="K87" i="16"/>
  <c r="L89" i="16"/>
  <c r="C78" i="16"/>
  <c r="C26" i="16"/>
  <c r="E30" i="16"/>
  <c r="G153" i="16"/>
  <c r="C88" i="16"/>
  <c r="L95" i="16"/>
  <c r="K92" i="16"/>
  <c r="M45" i="16"/>
  <c r="C69" i="16"/>
  <c r="L88" i="16"/>
  <c r="K80" i="16"/>
  <c r="N34" i="16"/>
  <c r="F34" i="16" s="1"/>
  <c r="K23" i="16"/>
  <c r="L25" i="16"/>
  <c r="L29" i="16"/>
  <c r="C14" i="16"/>
  <c r="K43" i="16"/>
  <c r="C45" i="16"/>
  <c r="L40" i="16"/>
  <c r="K33" i="16"/>
  <c r="C35" i="16"/>
  <c r="D51" i="16"/>
  <c r="L94" i="16"/>
  <c r="C89" i="16"/>
  <c r="C34" i="16"/>
  <c r="G155" i="16"/>
  <c r="M14" i="16"/>
  <c r="M19" i="16"/>
  <c r="C9" i="16"/>
  <c r="B116" i="16"/>
  <c r="J101" i="16"/>
  <c r="M49" i="16"/>
  <c r="D49" i="16"/>
  <c r="D26" i="16"/>
  <c r="C95" i="16"/>
  <c r="L50" i="16"/>
  <c r="C72" i="16"/>
  <c r="K81" i="16"/>
  <c r="K18" i="16"/>
  <c r="N44" i="16" l="1"/>
  <c r="F44" i="16" s="1"/>
  <c r="D44" i="16"/>
  <c r="L47" i="16" s="1"/>
  <c r="N54" i="1"/>
  <c r="N54" i="16" s="1"/>
  <c r="M54" i="16"/>
  <c r="K42" i="16"/>
  <c r="M84" i="16"/>
  <c r="M81" i="16" s="1"/>
  <c r="M24" i="16"/>
  <c r="N24" i="16" s="1"/>
  <c r="F24" i="16" s="1"/>
  <c r="E39" i="16"/>
  <c r="G39" i="16" s="1"/>
  <c r="E21" i="16"/>
  <c r="L18" i="16"/>
  <c r="D20" i="16"/>
  <c r="D21" i="16"/>
  <c r="E82" i="16"/>
  <c r="M15" i="16"/>
  <c r="E15" i="16" s="1"/>
  <c r="L80" i="16"/>
  <c r="G51" i="16"/>
  <c r="M80" i="16"/>
  <c r="D82" i="16"/>
  <c r="L85" i="16" s="1"/>
  <c r="L43" i="16"/>
  <c r="M11" i="16"/>
  <c r="E11" i="16" s="1"/>
  <c r="K52" i="16"/>
  <c r="D36" i="16"/>
  <c r="L37" i="16" s="1"/>
  <c r="M36" i="16"/>
  <c r="M33" i="16" s="1"/>
  <c r="M90" i="16"/>
  <c r="E90" i="16" s="1"/>
  <c r="M46" i="16"/>
  <c r="N46" i="16" s="1"/>
  <c r="F46" i="16" s="1"/>
  <c r="M16" i="16"/>
  <c r="N16" i="16" s="1"/>
  <c r="F16" i="16" s="1"/>
  <c r="L81" i="16"/>
  <c r="C116" i="16"/>
  <c r="L17" i="16"/>
  <c r="G96" i="16"/>
  <c r="C115" i="16"/>
  <c r="L74" i="16"/>
  <c r="D75" i="16"/>
  <c r="L76" i="16" s="1"/>
  <c r="D31" i="16"/>
  <c r="M31" i="16"/>
  <c r="M104" i="16"/>
  <c r="D104" i="16"/>
  <c r="L105" i="16" s="1"/>
  <c r="L8" i="16"/>
  <c r="N35" i="16"/>
  <c r="L77" i="16"/>
  <c r="D78" i="16"/>
  <c r="L79" i="16" s="1"/>
  <c r="E41" i="16"/>
  <c r="N41" i="16"/>
  <c r="F41" i="16" s="1"/>
  <c r="N10" i="16"/>
  <c r="E10" i="16"/>
  <c r="K85" i="16"/>
  <c r="D10" i="16"/>
  <c r="L13" i="16"/>
  <c r="G26" i="16"/>
  <c r="L92" i="16"/>
  <c r="M94" i="16"/>
  <c r="D94" i="16"/>
  <c r="K47" i="16"/>
  <c r="L23" i="16"/>
  <c r="D25" i="16"/>
  <c r="M25" i="16"/>
  <c r="M74" i="16"/>
  <c r="E75" i="16"/>
  <c r="N75" i="16"/>
  <c r="K97" i="16"/>
  <c r="E14" i="16"/>
  <c r="N14" i="16"/>
  <c r="F14" i="16" s="1"/>
  <c r="M77" i="16"/>
  <c r="E78" i="16"/>
  <c r="M79" i="16" s="1"/>
  <c r="N78" i="16"/>
  <c r="K27" i="16"/>
  <c r="K91" i="16"/>
  <c r="K73" i="16"/>
  <c r="L68" i="16"/>
  <c r="D69" i="16"/>
  <c r="M69" i="16"/>
  <c r="N9" i="16"/>
  <c r="E9" i="16"/>
  <c r="E171" i="16" s="1"/>
  <c r="K17" i="16"/>
  <c r="F82" i="16"/>
  <c r="L87" i="16"/>
  <c r="D89" i="16"/>
  <c r="M89" i="16"/>
  <c r="D171" i="16"/>
  <c r="E108" i="16"/>
  <c r="M109" i="16" s="1"/>
  <c r="N108" i="16"/>
  <c r="F108" i="16" s="1"/>
  <c r="N109" i="16" s="1"/>
  <c r="L101" i="16"/>
  <c r="N49" i="16"/>
  <c r="F49" i="16" s="1"/>
  <c r="E49" i="16"/>
  <c r="K79" i="16"/>
  <c r="L93" i="16"/>
  <c r="M95" i="16"/>
  <c r="D95" i="16"/>
  <c r="M29" i="16"/>
  <c r="D29" i="16"/>
  <c r="L86" i="16"/>
  <c r="D88" i="16"/>
  <c r="M88" i="16"/>
  <c r="F30" i="16"/>
  <c r="G30" i="16" s="1"/>
  <c r="L109" i="16"/>
  <c r="E100" i="16"/>
  <c r="N100" i="16"/>
  <c r="F100" i="16" s="1"/>
  <c r="K12" i="16"/>
  <c r="K37" i="16"/>
  <c r="G34" i="16"/>
  <c r="L38" i="16"/>
  <c r="M40" i="16"/>
  <c r="D40" i="16"/>
  <c r="L42" i="16" s="1"/>
  <c r="C114" i="16"/>
  <c r="K70" i="16"/>
  <c r="L71" i="16"/>
  <c r="D72" i="16"/>
  <c r="L73" i="16" s="1"/>
  <c r="M72" i="16"/>
  <c r="N83" i="16"/>
  <c r="N80" i="16" s="1"/>
  <c r="E83" i="16"/>
  <c r="L48" i="16"/>
  <c r="D50" i="16"/>
  <c r="M50" i="16"/>
  <c r="N19" i="16"/>
  <c r="F19" i="16" s="1"/>
  <c r="E19" i="16"/>
  <c r="C171" i="16"/>
  <c r="N45" i="16"/>
  <c r="E45" i="16"/>
  <c r="M18" i="16"/>
  <c r="N20" i="16"/>
  <c r="E20" i="16"/>
  <c r="B179" i="16"/>
  <c r="B123" i="1"/>
  <c r="C123" i="1"/>
  <c r="D123" i="1"/>
  <c r="E123" i="1"/>
  <c r="F123" i="1"/>
  <c r="A123" i="1"/>
  <c r="N84" i="16" l="1"/>
  <c r="F84" i="16" s="1"/>
  <c r="E84" i="16"/>
  <c r="E24" i="16"/>
  <c r="G44" i="16"/>
  <c r="N90" i="16"/>
  <c r="F90" i="16" s="1"/>
  <c r="G90" i="16" s="1"/>
  <c r="E46" i="16"/>
  <c r="G46" i="16" s="1"/>
  <c r="M43" i="16"/>
  <c r="G21" i="16"/>
  <c r="L22" i="16"/>
  <c r="N11" i="16"/>
  <c r="F11" i="16" s="1"/>
  <c r="G11" i="16" s="1"/>
  <c r="M13" i="16"/>
  <c r="N15" i="16"/>
  <c r="N13" i="16" s="1"/>
  <c r="M8" i="16"/>
  <c r="E16" i="16"/>
  <c r="G16" i="16" s="1"/>
  <c r="N36" i="16"/>
  <c r="F36" i="16" s="1"/>
  <c r="E36" i="16"/>
  <c r="L91" i="16"/>
  <c r="G14" i="16"/>
  <c r="F35" i="16"/>
  <c r="D116" i="16"/>
  <c r="F10" i="16"/>
  <c r="G10" i="16" s="1"/>
  <c r="E104" i="16"/>
  <c r="E116" i="16" s="1"/>
  <c r="N104" i="16"/>
  <c r="F104" i="16" s="1"/>
  <c r="N105" i="16" s="1"/>
  <c r="E31" i="16"/>
  <c r="N31" i="16"/>
  <c r="M28" i="16"/>
  <c r="L12" i="16"/>
  <c r="G41" i="16"/>
  <c r="G123" i="1"/>
  <c r="E172" i="16"/>
  <c r="E179" i="16" s="1"/>
  <c r="E181" i="16" s="1"/>
  <c r="N18" i="16"/>
  <c r="Q20" i="16" s="1"/>
  <c r="F20" i="16"/>
  <c r="G20" i="16" s="1"/>
  <c r="L32" i="16"/>
  <c r="G108" i="16"/>
  <c r="L27" i="16"/>
  <c r="G84" i="16"/>
  <c r="N81" i="16"/>
  <c r="Q83" i="16" s="1"/>
  <c r="F83" i="16"/>
  <c r="N85" i="16" s="1"/>
  <c r="M76" i="16"/>
  <c r="M22" i="16"/>
  <c r="G19" i="16"/>
  <c r="N43" i="16"/>
  <c r="F45" i="16"/>
  <c r="N47" i="16" s="1"/>
  <c r="D115" i="16"/>
  <c r="C172" i="16"/>
  <c r="M101" i="16"/>
  <c r="G100" i="16"/>
  <c r="D172" i="16"/>
  <c r="D179" i="16" s="1"/>
  <c r="D181" i="16" s="1"/>
  <c r="N77" i="16"/>
  <c r="Q78" i="16" s="1"/>
  <c r="F78" i="16"/>
  <c r="N79" i="16" s="1"/>
  <c r="M92" i="16"/>
  <c r="E94" i="16"/>
  <c r="N94" i="16"/>
  <c r="B181" i="16"/>
  <c r="M68" i="16"/>
  <c r="E69" i="16"/>
  <c r="N69" i="16"/>
  <c r="M12" i="16"/>
  <c r="M48" i="16"/>
  <c r="N50" i="16"/>
  <c r="E50" i="16"/>
  <c r="M52" i="16" s="1"/>
  <c r="F9" i="16"/>
  <c r="F171" i="16" s="1"/>
  <c r="G171" i="16" s="1"/>
  <c r="M93" i="16"/>
  <c r="N95" i="16"/>
  <c r="E95" i="16"/>
  <c r="G49" i="16"/>
  <c r="M71" i="16"/>
  <c r="E72" i="16"/>
  <c r="M73" i="16" s="1"/>
  <c r="N72" i="16"/>
  <c r="M38" i="16"/>
  <c r="N40" i="16"/>
  <c r="E40" i="16"/>
  <c r="L52" i="16"/>
  <c r="N101" i="16"/>
  <c r="G24" i="16"/>
  <c r="N29" i="16"/>
  <c r="F29" i="16" s="1"/>
  <c r="E29" i="16"/>
  <c r="M87" i="16"/>
  <c r="N89" i="16"/>
  <c r="E89" i="16"/>
  <c r="D114" i="16"/>
  <c r="L70" i="16"/>
  <c r="E25" i="16"/>
  <c r="M27" i="16" s="1"/>
  <c r="M23" i="16"/>
  <c r="N25" i="16"/>
  <c r="M86" i="16"/>
  <c r="N88" i="16"/>
  <c r="E88" i="16"/>
  <c r="G82" i="16"/>
  <c r="M85" i="16"/>
  <c r="N74" i="16"/>
  <c r="P75" i="16" s="1"/>
  <c r="F75" i="16"/>
  <c r="N76" i="16" s="1"/>
  <c r="L97" i="16"/>
  <c r="Z5" i="1"/>
  <c r="Z6" i="1" s="1"/>
  <c r="F15" i="16" l="1"/>
  <c r="G15" i="16" s="1"/>
  <c r="Q46" i="16"/>
  <c r="M47" i="16"/>
  <c r="G45" i="16"/>
  <c r="G83" i="16"/>
  <c r="F116" i="16"/>
  <c r="G116" i="16" s="1"/>
  <c r="M17" i="16"/>
  <c r="N8" i="16"/>
  <c r="Q10" i="16" s="1"/>
  <c r="N22" i="16"/>
  <c r="G36" i="16"/>
  <c r="M37" i="16"/>
  <c r="N33" i="16"/>
  <c r="P82" i="16"/>
  <c r="Q19" i="16"/>
  <c r="G9" i="16"/>
  <c r="Q82" i="16"/>
  <c r="G35" i="16"/>
  <c r="N37" i="16"/>
  <c r="G78" i="16"/>
  <c r="P19" i="16"/>
  <c r="A20" i="16" s="1"/>
  <c r="Q84" i="16"/>
  <c r="F31" i="16"/>
  <c r="G31" i="16" s="1"/>
  <c r="N28" i="16"/>
  <c r="Q30" i="16" s="1"/>
  <c r="M32" i="16"/>
  <c r="G29" i="16"/>
  <c r="M105" i="16"/>
  <c r="G104" i="16"/>
  <c r="Q21" i="16"/>
  <c r="M91" i="16"/>
  <c r="Q15" i="16"/>
  <c r="Q16" i="16"/>
  <c r="Q14" i="16"/>
  <c r="P14" i="16"/>
  <c r="M42" i="16"/>
  <c r="Q45" i="16"/>
  <c r="P78" i="16"/>
  <c r="A78" i="16" s="1"/>
  <c r="Q44" i="16"/>
  <c r="F40" i="16"/>
  <c r="N42" i="16" s="1"/>
  <c r="N38" i="16"/>
  <c r="P39" i="16" s="1"/>
  <c r="N12" i="16"/>
  <c r="Q75" i="16"/>
  <c r="A75" i="16" s="1"/>
  <c r="N92" i="16"/>
  <c r="F94" i="16"/>
  <c r="G75" i="16"/>
  <c r="N87" i="16"/>
  <c r="P88" i="16" s="1"/>
  <c r="F89" i="16"/>
  <c r="N86" i="16"/>
  <c r="F88" i="16"/>
  <c r="N23" i="16"/>
  <c r="Q25" i="16" s="1"/>
  <c r="F25" i="16"/>
  <c r="N48" i="16"/>
  <c r="F50" i="16"/>
  <c r="P44" i="16"/>
  <c r="F172" i="16"/>
  <c r="G172" i="16" s="1"/>
  <c r="M97" i="16"/>
  <c r="N71" i="16"/>
  <c r="P72" i="16" s="1"/>
  <c r="F72" i="16"/>
  <c r="N68" i="16"/>
  <c r="P69" i="16" s="1"/>
  <c r="F69" i="16"/>
  <c r="G69" i="16" s="1"/>
  <c r="E115" i="16"/>
  <c r="N93" i="16"/>
  <c r="P94" i="16" s="1"/>
  <c r="F95" i="16"/>
  <c r="G95" i="16" s="1"/>
  <c r="E114" i="16"/>
  <c r="M70" i="16"/>
  <c r="C179" i="16"/>
  <c r="G161" i="1"/>
  <c r="N17" i="16" l="1"/>
  <c r="A82" i="16"/>
  <c r="Q9" i="16"/>
  <c r="P9" i="16"/>
  <c r="A10" i="16" s="1"/>
  <c r="Q11" i="16"/>
  <c r="Q40" i="16"/>
  <c r="A40" i="16" s="1"/>
  <c r="A83" i="16"/>
  <c r="Q35" i="16"/>
  <c r="Q34" i="16"/>
  <c r="P34" i="16"/>
  <c r="Q36" i="16"/>
  <c r="A19" i="16"/>
  <c r="F179" i="16"/>
  <c r="F181" i="16" s="1"/>
  <c r="Q96" i="16"/>
  <c r="Q31" i="16"/>
  <c r="Q69" i="16"/>
  <c r="A69" i="16" s="1"/>
  <c r="G40" i="16"/>
  <c r="F115" i="16"/>
  <c r="G115" i="16" s="1"/>
  <c r="Q24" i="16"/>
  <c r="Q26" i="16"/>
  <c r="Q41" i="16"/>
  <c r="Q39" i="16"/>
  <c r="A39" i="16" s="1"/>
  <c r="P24" i="16"/>
  <c r="P29" i="16"/>
  <c r="Q29" i="16"/>
  <c r="N32" i="16"/>
  <c r="Q89" i="16"/>
  <c r="A89" i="16" s="1"/>
  <c r="A44" i="16"/>
  <c r="A45" i="16"/>
  <c r="A15" i="16"/>
  <c r="A14" i="16"/>
  <c r="G89" i="16"/>
  <c r="Q72" i="16"/>
  <c r="A72" i="16" s="1"/>
  <c r="N73" i="16"/>
  <c r="G72" i="16"/>
  <c r="N52" i="16"/>
  <c r="G50" i="16"/>
  <c r="N91" i="16"/>
  <c r="G88" i="16"/>
  <c r="N27" i="16"/>
  <c r="G25" i="16"/>
  <c r="C181" i="16"/>
  <c r="Q49" i="16"/>
  <c r="P49" i="16"/>
  <c r="Q51" i="16"/>
  <c r="Q50" i="16"/>
  <c r="N97" i="16"/>
  <c r="G94" i="16"/>
  <c r="Q95" i="16"/>
  <c r="A95" i="16" s="1"/>
  <c r="Q88" i="16"/>
  <c r="A88" i="16" s="1"/>
  <c r="Q90" i="16"/>
  <c r="Q94" i="16"/>
  <c r="A94" i="16" s="1"/>
  <c r="F114" i="16"/>
  <c r="G114" i="16" s="1"/>
  <c r="N70" i="16"/>
  <c r="A156" i="1"/>
  <c r="A155" i="1"/>
  <c r="A154" i="1"/>
  <c r="G179" i="16" l="1"/>
  <c r="A24" i="16"/>
  <c r="G181" i="16"/>
  <c r="A9" i="16"/>
  <c r="A171" i="16" s="1"/>
  <c r="A35" i="16"/>
  <c r="A34" i="16"/>
  <c r="A25" i="16"/>
  <c r="A29" i="16"/>
  <c r="A30" i="16"/>
  <c r="A50" i="16"/>
  <c r="A49" i="16"/>
  <c r="J62" i="14"/>
  <c r="J58" i="14"/>
  <c r="J57" i="14"/>
  <c r="J53" i="14"/>
  <c r="J52" i="14"/>
  <c r="J62" i="13"/>
  <c r="J58" i="13"/>
  <c r="J57" i="13"/>
  <c r="J53" i="13"/>
  <c r="J52" i="13"/>
  <c r="J62" i="11"/>
  <c r="J58" i="11"/>
  <c r="J57" i="11"/>
  <c r="J53" i="11"/>
  <c r="J52" i="11"/>
  <c r="J62" i="10"/>
  <c r="J58" i="10"/>
  <c r="J57" i="10"/>
  <c r="J53" i="10"/>
  <c r="J52" i="10"/>
  <c r="B103" i="10" s="1"/>
  <c r="B120" i="10" s="1"/>
  <c r="J52" i="9"/>
  <c r="J57" i="9"/>
  <c r="J62" i="9"/>
  <c r="O66" i="14"/>
  <c r="B66" i="14" s="1"/>
  <c r="O65" i="14"/>
  <c r="B65" i="14" s="1"/>
  <c r="O64" i="14"/>
  <c r="B64" i="14" s="1"/>
  <c r="O61" i="14"/>
  <c r="B61" i="14" s="1"/>
  <c r="O60" i="14"/>
  <c r="B60" i="14" s="1"/>
  <c r="O59" i="14"/>
  <c r="B59" i="14" s="1"/>
  <c r="O56" i="14"/>
  <c r="B56" i="14" s="1"/>
  <c r="O55" i="14"/>
  <c r="B55" i="14" s="1"/>
  <c r="O54" i="14"/>
  <c r="B54" i="14" s="1"/>
  <c r="O40" i="14"/>
  <c r="B40" i="14" s="1"/>
  <c r="O39" i="14"/>
  <c r="B39" i="14" s="1"/>
  <c r="O38" i="14"/>
  <c r="B38" i="14" s="1"/>
  <c r="O34" i="14"/>
  <c r="B34" i="14" s="1"/>
  <c r="O33" i="14"/>
  <c r="B33" i="14" s="1"/>
  <c r="O32" i="14"/>
  <c r="B32" i="14" s="1"/>
  <c r="O28" i="14"/>
  <c r="B28" i="14" s="1"/>
  <c r="O27" i="14"/>
  <c r="B27" i="14" s="1"/>
  <c r="O26" i="14"/>
  <c r="B26" i="14" s="1"/>
  <c r="O22" i="14"/>
  <c r="B22" i="14" s="1"/>
  <c r="O21" i="14"/>
  <c r="B21" i="14" s="1"/>
  <c r="O20" i="14"/>
  <c r="B20" i="14" s="1"/>
  <c r="O16" i="14"/>
  <c r="B16" i="14" s="1"/>
  <c r="O15" i="14"/>
  <c r="B15" i="14" s="1"/>
  <c r="O14" i="14"/>
  <c r="B14" i="14" s="1"/>
  <c r="O10" i="14"/>
  <c r="B10" i="14" s="1"/>
  <c r="O9" i="14"/>
  <c r="B9" i="14" s="1"/>
  <c r="O8" i="14"/>
  <c r="B8" i="14" s="1"/>
  <c r="O3" i="14"/>
  <c r="O66" i="13"/>
  <c r="B66" i="13" s="1"/>
  <c r="O65" i="13"/>
  <c r="B65" i="13" s="1"/>
  <c r="O64" i="13"/>
  <c r="B64" i="13" s="1"/>
  <c r="O61" i="13"/>
  <c r="B61" i="13" s="1"/>
  <c r="O60" i="13"/>
  <c r="B60" i="13" s="1"/>
  <c r="O59" i="13"/>
  <c r="B59" i="13" s="1"/>
  <c r="O56" i="13"/>
  <c r="B56" i="13" s="1"/>
  <c r="O55" i="13"/>
  <c r="B55" i="13" s="1"/>
  <c r="O54" i="13"/>
  <c r="B54" i="13" s="1"/>
  <c r="O40" i="13"/>
  <c r="B40" i="13" s="1"/>
  <c r="O39" i="13"/>
  <c r="B39" i="13" s="1"/>
  <c r="O38" i="13"/>
  <c r="B38" i="13" s="1"/>
  <c r="O34" i="13"/>
  <c r="B34" i="13" s="1"/>
  <c r="O33" i="13"/>
  <c r="B33" i="13" s="1"/>
  <c r="O32" i="13"/>
  <c r="B32" i="13" s="1"/>
  <c r="O28" i="13"/>
  <c r="B28" i="13" s="1"/>
  <c r="O27" i="13"/>
  <c r="B27" i="13" s="1"/>
  <c r="O26" i="13"/>
  <c r="B26" i="13" s="1"/>
  <c r="O22" i="13"/>
  <c r="B22" i="13" s="1"/>
  <c r="O21" i="13"/>
  <c r="B21" i="13" s="1"/>
  <c r="O20" i="13"/>
  <c r="B20" i="13" s="1"/>
  <c r="O16" i="13"/>
  <c r="B16" i="13" s="1"/>
  <c r="O15" i="13"/>
  <c r="B15" i="13" s="1"/>
  <c r="O14" i="13"/>
  <c r="B14" i="13" s="1"/>
  <c r="O10" i="13"/>
  <c r="B10" i="13" s="1"/>
  <c r="O9" i="13"/>
  <c r="B9" i="13" s="1"/>
  <c r="O8" i="13"/>
  <c r="B8" i="13" s="1"/>
  <c r="O3" i="13"/>
  <c r="O66" i="11"/>
  <c r="B66" i="11" s="1"/>
  <c r="O65" i="11"/>
  <c r="B65" i="11" s="1"/>
  <c r="O64" i="11"/>
  <c r="B64" i="11" s="1"/>
  <c r="O61" i="11"/>
  <c r="B61" i="11" s="1"/>
  <c r="O60" i="11"/>
  <c r="B60" i="11" s="1"/>
  <c r="O59" i="11"/>
  <c r="B59" i="11" s="1"/>
  <c r="O56" i="11"/>
  <c r="B56" i="11" s="1"/>
  <c r="O55" i="11"/>
  <c r="B55" i="11" s="1"/>
  <c r="O54" i="11"/>
  <c r="B54" i="11" s="1"/>
  <c r="O40" i="11"/>
  <c r="B40" i="11" s="1"/>
  <c r="O39" i="11"/>
  <c r="B39" i="11" s="1"/>
  <c r="O38" i="11"/>
  <c r="B38" i="11" s="1"/>
  <c r="O34" i="11"/>
  <c r="B34" i="11" s="1"/>
  <c r="O33" i="11"/>
  <c r="B33" i="11" s="1"/>
  <c r="O32" i="11"/>
  <c r="B32" i="11" s="1"/>
  <c r="O28" i="11"/>
  <c r="B28" i="11" s="1"/>
  <c r="O27" i="11"/>
  <c r="B27" i="11" s="1"/>
  <c r="O26" i="11"/>
  <c r="B26" i="11" s="1"/>
  <c r="O22" i="11"/>
  <c r="B22" i="11" s="1"/>
  <c r="O21" i="11"/>
  <c r="B21" i="11" s="1"/>
  <c r="O20" i="11"/>
  <c r="B20" i="11" s="1"/>
  <c r="O16" i="11"/>
  <c r="B16" i="11" s="1"/>
  <c r="O15" i="11"/>
  <c r="B15" i="11" s="1"/>
  <c r="O14" i="11"/>
  <c r="B14" i="11" s="1"/>
  <c r="O10" i="11"/>
  <c r="B10" i="11" s="1"/>
  <c r="O9" i="11"/>
  <c r="B9" i="11" s="1"/>
  <c r="O8" i="11"/>
  <c r="B8" i="11" s="1"/>
  <c r="O3" i="11"/>
  <c r="O66" i="10"/>
  <c r="B66" i="10" s="1"/>
  <c r="O65" i="10"/>
  <c r="B65" i="10" s="1"/>
  <c r="O64" i="10"/>
  <c r="B64" i="10" s="1"/>
  <c r="O61" i="10"/>
  <c r="B61" i="10" s="1"/>
  <c r="O60" i="10"/>
  <c r="B60" i="10" s="1"/>
  <c r="O59" i="10"/>
  <c r="B59" i="10" s="1"/>
  <c r="O56" i="10"/>
  <c r="B56" i="10" s="1"/>
  <c r="O55" i="10"/>
  <c r="B55" i="10" s="1"/>
  <c r="O54" i="10"/>
  <c r="B54" i="10" s="1"/>
  <c r="O40" i="10"/>
  <c r="B40" i="10" s="1"/>
  <c r="O39" i="10"/>
  <c r="B39" i="10" s="1"/>
  <c r="O38" i="10"/>
  <c r="B38" i="10" s="1"/>
  <c r="O34" i="10"/>
  <c r="B34" i="10" s="1"/>
  <c r="O33" i="10"/>
  <c r="B33" i="10" s="1"/>
  <c r="O32" i="10"/>
  <c r="B32" i="10" s="1"/>
  <c r="O28" i="10"/>
  <c r="B28" i="10" s="1"/>
  <c r="O27" i="10"/>
  <c r="B27" i="10" s="1"/>
  <c r="O26" i="10"/>
  <c r="B26" i="10" s="1"/>
  <c r="O22" i="10"/>
  <c r="B22" i="10" s="1"/>
  <c r="O21" i="10"/>
  <c r="B21" i="10" s="1"/>
  <c r="O20" i="10"/>
  <c r="B20" i="10" s="1"/>
  <c r="O16" i="10"/>
  <c r="B16" i="10" s="1"/>
  <c r="O15" i="10"/>
  <c r="B15" i="10" s="1"/>
  <c r="O14" i="10"/>
  <c r="B14" i="10" s="1"/>
  <c r="O10" i="10"/>
  <c r="B10" i="10" s="1"/>
  <c r="O9" i="10"/>
  <c r="B9" i="10" s="1"/>
  <c r="O8" i="10"/>
  <c r="B8" i="10" s="1"/>
  <c r="O3" i="10"/>
  <c r="O66" i="9"/>
  <c r="B66" i="9" s="1"/>
  <c r="O61" i="9"/>
  <c r="B61" i="9" s="1"/>
  <c r="O56" i="9"/>
  <c r="B56" i="9" s="1"/>
  <c r="O40" i="9"/>
  <c r="B40" i="9" s="1"/>
  <c r="O34" i="9"/>
  <c r="B34" i="9" s="1"/>
  <c r="O28" i="9"/>
  <c r="B28" i="9" s="1"/>
  <c r="O22" i="9"/>
  <c r="B22" i="9" s="1"/>
  <c r="O16" i="9"/>
  <c r="B16" i="9" s="1"/>
  <c r="O10" i="9"/>
  <c r="B10" i="9" s="1"/>
  <c r="B69" i="14"/>
  <c r="B72" i="14"/>
  <c r="B75" i="14"/>
  <c r="A82" i="14"/>
  <c r="A81" i="14"/>
  <c r="B45" i="14"/>
  <c r="B48" i="14"/>
  <c r="B51" i="14"/>
  <c r="A80" i="14"/>
  <c r="A79" i="14"/>
  <c r="B69" i="13"/>
  <c r="B72" i="13"/>
  <c r="B75" i="13"/>
  <c r="A82" i="13"/>
  <c r="A81" i="13"/>
  <c r="B45" i="13"/>
  <c r="B48" i="13"/>
  <c r="B51" i="13"/>
  <c r="A80" i="13"/>
  <c r="A79" i="13"/>
  <c r="B69" i="11"/>
  <c r="B72" i="11"/>
  <c r="B75" i="11"/>
  <c r="A82" i="11"/>
  <c r="A81" i="11"/>
  <c r="B45" i="11"/>
  <c r="B48" i="11"/>
  <c r="B51" i="11"/>
  <c r="A80" i="11"/>
  <c r="A79" i="11"/>
  <c r="B69" i="10"/>
  <c r="B72" i="10"/>
  <c r="B75" i="10"/>
  <c r="A82" i="10"/>
  <c r="A81" i="10"/>
  <c r="B45" i="10"/>
  <c r="B48" i="10"/>
  <c r="B51" i="10"/>
  <c r="A80" i="10"/>
  <c r="A79" i="10"/>
  <c r="B69" i="9"/>
  <c r="B72" i="9"/>
  <c r="B75" i="9"/>
  <c r="F91" i="14"/>
  <c r="F119" i="14" s="1"/>
  <c r="F96" i="14"/>
  <c r="F100" i="14"/>
  <c r="F121" i="14" s="1"/>
  <c r="F112" i="14"/>
  <c r="E91" i="14"/>
  <c r="E119" i="14" s="1"/>
  <c r="E96" i="14"/>
  <c r="E100" i="14"/>
  <c r="E121" i="14" s="1"/>
  <c r="E112" i="14"/>
  <c r="D91" i="14"/>
  <c r="D119" i="14" s="1"/>
  <c r="D96" i="14"/>
  <c r="D100" i="14"/>
  <c r="D121" i="14" s="1"/>
  <c r="D112" i="14"/>
  <c r="C91" i="14"/>
  <c r="C96" i="14"/>
  <c r="C100" i="14"/>
  <c r="C121" i="14" s="1"/>
  <c r="C112" i="14"/>
  <c r="C119" i="14"/>
  <c r="B91" i="14"/>
  <c r="B96" i="14"/>
  <c r="B100" i="14"/>
  <c r="B121" i="14" s="1"/>
  <c r="B112" i="14"/>
  <c r="F91" i="13"/>
  <c r="F119" i="13" s="1"/>
  <c r="F96" i="13"/>
  <c r="F100" i="13"/>
  <c r="F121" i="13" s="1"/>
  <c r="F112" i="13"/>
  <c r="E91" i="13"/>
  <c r="E119" i="13" s="1"/>
  <c r="E96" i="13"/>
  <c r="E100" i="13"/>
  <c r="E121" i="13" s="1"/>
  <c r="E112" i="13"/>
  <c r="D91" i="13"/>
  <c r="D119" i="13" s="1"/>
  <c r="D96" i="13"/>
  <c r="D100" i="13"/>
  <c r="D121" i="13" s="1"/>
  <c r="D112" i="13"/>
  <c r="C91" i="13"/>
  <c r="C119" i="13" s="1"/>
  <c r="C96" i="13"/>
  <c r="C100" i="13"/>
  <c r="C121" i="13" s="1"/>
  <c r="C112" i="13"/>
  <c r="B91" i="13"/>
  <c r="B119" i="13" s="1"/>
  <c r="B96" i="13"/>
  <c r="B100" i="13"/>
  <c r="B121" i="13" s="1"/>
  <c r="B112" i="13"/>
  <c r="F91" i="11"/>
  <c r="F119" i="11" s="1"/>
  <c r="F96" i="11"/>
  <c r="F100" i="11"/>
  <c r="F121" i="11" s="1"/>
  <c r="F112" i="11"/>
  <c r="E91" i="11"/>
  <c r="E119" i="11" s="1"/>
  <c r="E96" i="11"/>
  <c r="E100" i="11"/>
  <c r="E121" i="11" s="1"/>
  <c r="E112" i="11"/>
  <c r="D91" i="11"/>
  <c r="D119" i="11" s="1"/>
  <c r="D96" i="11"/>
  <c r="D100" i="11"/>
  <c r="D121" i="11" s="1"/>
  <c r="D112" i="11"/>
  <c r="C91" i="11"/>
  <c r="C119" i="11" s="1"/>
  <c r="C96" i="11"/>
  <c r="C100" i="11"/>
  <c r="C121" i="11" s="1"/>
  <c r="C112" i="11"/>
  <c r="B91" i="11"/>
  <c r="B119" i="11" s="1"/>
  <c r="B96" i="11"/>
  <c r="B100" i="11"/>
  <c r="B121" i="11" s="1"/>
  <c r="B112" i="11"/>
  <c r="F91" i="10"/>
  <c r="F119" i="10" s="1"/>
  <c r="F96" i="10"/>
  <c r="F100" i="10"/>
  <c r="F121" i="10" s="1"/>
  <c r="F112" i="10"/>
  <c r="E91" i="10"/>
  <c r="E119" i="10" s="1"/>
  <c r="E96" i="10"/>
  <c r="E100" i="10"/>
  <c r="E121" i="10" s="1"/>
  <c r="E112" i="10"/>
  <c r="D91" i="10"/>
  <c r="D119" i="10" s="1"/>
  <c r="D96" i="10"/>
  <c r="D100" i="10"/>
  <c r="D121" i="10" s="1"/>
  <c r="D112" i="10"/>
  <c r="C91" i="10"/>
  <c r="C119" i="10" s="1"/>
  <c r="C96" i="10"/>
  <c r="C100" i="10"/>
  <c r="C121" i="10" s="1"/>
  <c r="C112" i="10"/>
  <c r="B91" i="10"/>
  <c r="B119" i="10" s="1"/>
  <c r="B96" i="10"/>
  <c r="B100" i="10"/>
  <c r="B121" i="10" s="1"/>
  <c r="B112" i="10"/>
  <c r="C100" i="9"/>
  <c r="C121" i="9" s="1"/>
  <c r="D100" i="9"/>
  <c r="E100" i="9"/>
  <c r="E121" i="9" s="1"/>
  <c r="F100" i="9"/>
  <c r="F121" i="9" s="1"/>
  <c r="B100" i="9"/>
  <c r="C91" i="9"/>
  <c r="C119" i="9" s="1"/>
  <c r="D91" i="9"/>
  <c r="D119" i="9" s="1"/>
  <c r="E91" i="9"/>
  <c r="E119" i="9" s="1"/>
  <c r="F91" i="9"/>
  <c r="F119" i="9" s="1"/>
  <c r="B91" i="9"/>
  <c r="C96" i="9"/>
  <c r="D96" i="9"/>
  <c r="E96" i="9"/>
  <c r="F96" i="9"/>
  <c r="B96" i="9"/>
  <c r="J3" i="14"/>
  <c r="P2" i="14" s="1"/>
  <c r="P3" i="14" s="1"/>
  <c r="J3" i="13"/>
  <c r="P2" i="13" s="1"/>
  <c r="J3" i="11"/>
  <c r="P2" i="11" s="1"/>
  <c r="P3" i="11" s="1"/>
  <c r="J3" i="10"/>
  <c r="P2" i="10" s="1"/>
  <c r="P3" i="10" s="1"/>
  <c r="O3" i="9"/>
  <c r="J3" i="9"/>
  <c r="J75" i="1"/>
  <c r="J79" i="1"/>
  <c r="J83" i="1"/>
  <c r="O9" i="1"/>
  <c r="O10" i="1"/>
  <c r="O14" i="1"/>
  <c r="B14" i="1" s="1"/>
  <c r="O15" i="1"/>
  <c r="O19" i="1"/>
  <c r="B19" i="1" s="1"/>
  <c r="O20" i="1"/>
  <c r="O24" i="1"/>
  <c r="B24" i="1" s="1"/>
  <c r="O25" i="1"/>
  <c r="O29" i="1"/>
  <c r="B29" i="1" s="1"/>
  <c r="O30" i="1"/>
  <c r="O34" i="1"/>
  <c r="B34" i="1" s="1"/>
  <c r="O35" i="1"/>
  <c r="O39" i="1"/>
  <c r="B39" i="1" s="1"/>
  <c r="O40" i="1"/>
  <c r="O44" i="1"/>
  <c r="B44" i="1" s="1"/>
  <c r="O45" i="1"/>
  <c r="O49" i="1"/>
  <c r="B49" i="1" s="1"/>
  <c r="O50" i="1"/>
  <c r="O54" i="1"/>
  <c r="B54" i="1" s="1"/>
  <c r="B54" i="16" s="1"/>
  <c r="O55" i="1"/>
  <c r="B55" i="1" s="1"/>
  <c r="B55" i="16" s="1"/>
  <c r="O56" i="1"/>
  <c r="B56" i="1" s="1"/>
  <c r="B56" i="16" s="1"/>
  <c r="O59" i="1"/>
  <c r="B59" i="1" s="1"/>
  <c r="B59" i="16" s="1"/>
  <c r="O60" i="1"/>
  <c r="B60" i="1" s="1"/>
  <c r="B60" i="16" s="1"/>
  <c r="O61" i="1"/>
  <c r="B61" i="1" s="1"/>
  <c r="B61" i="16" s="1"/>
  <c r="O64" i="1"/>
  <c r="B64" i="1" s="1"/>
  <c r="B64" i="16" s="1"/>
  <c r="O65" i="1"/>
  <c r="B65" i="1" s="1"/>
  <c r="B65" i="16" s="1"/>
  <c r="O66" i="1"/>
  <c r="B66" i="1" s="1"/>
  <c r="B66" i="16" s="1"/>
  <c r="O86" i="1"/>
  <c r="B86" i="1" s="1"/>
  <c r="O87" i="1"/>
  <c r="O92" i="1"/>
  <c r="B92" i="1" s="1"/>
  <c r="O93" i="1"/>
  <c r="O98" i="1"/>
  <c r="B98" i="1" s="1"/>
  <c r="O99" i="1"/>
  <c r="O103" i="1"/>
  <c r="A104" i="1" s="1"/>
  <c r="O107" i="1"/>
  <c r="B108" i="1" s="1"/>
  <c r="J109" i="1" s="1"/>
  <c r="O111" i="1"/>
  <c r="B112" i="1" s="1"/>
  <c r="J113" i="1" s="1"/>
  <c r="J63" i="1"/>
  <c r="J58" i="1"/>
  <c r="J53" i="1"/>
  <c r="J48" i="1"/>
  <c r="J43" i="1"/>
  <c r="J38" i="1"/>
  <c r="B121" i="1"/>
  <c r="B122" i="1"/>
  <c r="B119" i="9"/>
  <c r="J84" i="1"/>
  <c r="J90" i="1"/>
  <c r="J96" i="1"/>
  <c r="B132" i="1"/>
  <c r="B167" i="1" s="1"/>
  <c r="C121" i="1"/>
  <c r="C122" i="1"/>
  <c r="C132" i="1"/>
  <c r="C167" i="1" s="1"/>
  <c r="D121" i="1"/>
  <c r="D122" i="1"/>
  <c r="D121" i="9"/>
  <c r="D132" i="1"/>
  <c r="D167" i="1" s="1"/>
  <c r="E121" i="1"/>
  <c r="E122" i="1"/>
  <c r="E132" i="1"/>
  <c r="E167" i="1" s="1"/>
  <c r="F121" i="1"/>
  <c r="F122" i="1"/>
  <c r="F132" i="1"/>
  <c r="A174" i="1"/>
  <c r="A173" i="1"/>
  <c r="A153" i="1"/>
  <c r="A126" i="14"/>
  <c r="G122" i="14"/>
  <c r="G111" i="14"/>
  <c r="G110" i="14"/>
  <c r="G109" i="14"/>
  <c r="G108" i="14"/>
  <c r="G107" i="14"/>
  <c r="G106" i="14"/>
  <c r="G104" i="14"/>
  <c r="G99" i="14"/>
  <c r="G95" i="14"/>
  <c r="G94" i="14"/>
  <c r="G90" i="14"/>
  <c r="G89" i="14"/>
  <c r="G88" i="14"/>
  <c r="A75" i="14"/>
  <c r="A74" i="14"/>
  <c r="A72" i="14"/>
  <c r="A71" i="14"/>
  <c r="A69" i="14"/>
  <c r="A68" i="14"/>
  <c r="J63" i="14"/>
  <c r="A51" i="14"/>
  <c r="A50" i="14"/>
  <c r="A48" i="14"/>
  <c r="A47" i="14"/>
  <c r="A45" i="14"/>
  <c r="A44" i="14"/>
  <c r="V41" i="14"/>
  <c r="J37" i="14"/>
  <c r="V35" i="14"/>
  <c r="J31" i="14"/>
  <c r="V29" i="14"/>
  <c r="J25" i="14"/>
  <c r="V23" i="14"/>
  <c r="J19" i="14"/>
  <c r="V17" i="14"/>
  <c r="J13" i="14"/>
  <c r="V11" i="14"/>
  <c r="J7" i="14"/>
  <c r="A126" i="13"/>
  <c r="G122" i="13"/>
  <c r="G111" i="13"/>
  <c r="G110" i="13"/>
  <c r="G109" i="13"/>
  <c r="G108" i="13"/>
  <c r="G107" i="13"/>
  <c r="G106" i="13"/>
  <c r="G104" i="13"/>
  <c r="G99" i="13"/>
  <c r="G95" i="13"/>
  <c r="G94" i="13"/>
  <c r="G90" i="13"/>
  <c r="G89" i="13"/>
  <c r="G88" i="13"/>
  <c r="A75" i="13"/>
  <c r="A74" i="13"/>
  <c r="A72" i="13"/>
  <c r="A71" i="13"/>
  <c r="A69" i="13"/>
  <c r="A68" i="13"/>
  <c r="J63" i="13"/>
  <c r="A51" i="13"/>
  <c r="A50" i="13"/>
  <c r="A48" i="13"/>
  <c r="A47" i="13"/>
  <c r="A45" i="13"/>
  <c r="A44" i="13"/>
  <c r="V41" i="13"/>
  <c r="J37" i="13"/>
  <c r="V35" i="13"/>
  <c r="J31" i="13"/>
  <c r="V29" i="13"/>
  <c r="J25" i="13"/>
  <c r="V23" i="13"/>
  <c r="J19" i="13"/>
  <c r="V17" i="13"/>
  <c r="J13" i="13"/>
  <c r="V11" i="13"/>
  <c r="J7" i="13"/>
  <c r="J63" i="11"/>
  <c r="J63" i="10"/>
  <c r="A126" i="11"/>
  <c r="A75" i="11"/>
  <c r="A74" i="11"/>
  <c r="A72" i="11"/>
  <c r="A71" i="11"/>
  <c r="A69" i="11"/>
  <c r="A68" i="11"/>
  <c r="A51" i="11"/>
  <c r="A50" i="11"/>
  <c r="A48" i="11"/>
  <c r="A47" i="11"/>
  <c r="A45" i="11"/>
  <c r="A44" i="11"/>
  <c r="A126" i="10"/>
  <c r="A75" i="10"/>
  <c r="A74" i="10"/>
  <c r="A72" i="10"/>
  <c r="A71" i="10"/>
  <c r="A69" i="10"/>
  <c r="A68" i="10"/>
  <c r="A51" i="10"/>
  <c r="A50" i="10"/>
  <c r="A48" i="10"/>
  <c r="A47" i="10"/>
  <c r="A45" i="10"/>
  <c r="A44" i="10"/>
  <c r="J97" i="1"/>
  <c r="J91" i="1"/>
  <c r="J85" i="1"/>
  <c r="J33" i="1"/>
  <c r="J28" i="1"/>
  <c r="J23" i="1"/>
  <c r="J18" i="1"/>
  <c r="J13" i="1"/>
  <c r="J8" i="1"/>
  <c r="J81" i="1"/>
  <c r="J77" i="1"/>
  <c r="J73" i="1"/>
  <c r="J69" i="1"/>
  <c r="B51" i="9"/>
  <c r="B48" i="9"/>
  <c r="B45" i="9"/>
  <c r="A51" i="9"/>
  <c r="A50" i="9"/>
  <c r="A48" i="9"/>
  <c r="A47" i="9"/>
  <c r="A45" i="9"/>
  <c r="A44" i="9"/>
  <c r="J37" i="11"/>
  <c r="J31" i="11"/>
  <c r="J25" i="11"/>
  <c r="J19" i="11"/>
  <c r="J13" i="11"/>
  <c r="J37" i="10"/>
  <c r="J31" i="10"/>
  <c r="J25" i="10"/>
  <c r="J19" i="10"/>
  <c r="J13" i="10"/>
  <c r="J37" i="9"/>
  <c r="J31" i="9"/>
  <c r="J25" i="9"/>
  <c r="J19" i="9"/>
  <c r="J13" i="9"/>
  <c r="O65" i="9"/>
  <c r="B65" i="9" s="1"/>
  <c r="O64" i="9"/>
  <c r="B64" i="9" s="1"/>
  <c r="O60" i="9"/>
  <c r="B60" i="9" s="1"/>
  <c r="O59" i="9"/>
  <c r="B59" i="9" s="1"/>
  <c r="O55" i="9"/>
  <c r="B55" i="9" s="1"/>
  <c r="O54" i="9"/>
  <c r="B54" i="9" s="1"/>
  <c r="A172" i="1"/>
  <c r="A171" i="1"/>
  <c r="A170" i="1"/>
  <c r="A178" i="1"/>
  <c r="G122" i="11"/>
  <c r="G111" i="11"/>
  <c r="G110" i="11"/>
  <c r="G109" i="11"/>
  <c r="G108" i="11"/>
  <c r="G107" i="11"/>
  <c r="G106" i="11"/>
  <c r="G104" i="11"/>
  <c r="G99" i="11"/>
  <c r="G122" i="10"/>
  <c r="G111" i="10"/>
  <c r="G110" i="10"/>
  <c r="G109" i="10"/>
  <c r="G108" i="10"/>
  <c r="G107" i="10"/>
  <c r="G106" i="10"/>
  <c r="G104" i="10"/>
  <c r="G99" i="10"/>
  <c r="J7" i="11"/>
  <c r="J7" i="10"/>
  <c r="J63" i="9"/>
  <c r="J58" i="9"/>
  <c r="J53" i="9"/>
  <c r="V11" i="9"/>
  <c r="O38" i="9"/>
  <c r="B38" i="9" s="1"/>
  <c r="O39" i="9"/>
  <c r="B39" i="9" s="1"/>
  <c r="O32" i="9"/>
  <c r="B32" i="9" s="1"/>
  <c r="O33" i="9"/>
  <c r="B33" i="9" s="1"/>
  <c r="O26" i="9"/>
  <c r="B26" i="9" s="1"/>
  <c r="O27" i="9"/>
  <c r="B27" i="9" s="1"/>
  <c r="O20" i="9"/>
  <c r="B20" i="9" s="1"/>
  <c r="O21" i="9"/>
  <c r="B21" i="9" s="1"/>
  <c r="O14" i="9"/>
  <c r="B14" i="9" s="1"/>
  <c r="O15" i="9"/>
  <c r="B15" i="9" s="1"/>
  <c r="O8" i="9"/>
  <c r="B8" i="9" s="1"/>
  <c r="O9" i="9"/>
  <c r="B9" i="9" s="1"/>
  <c r="J7" i="9"/>
  <c r="X5" i="5"/>
  <c r="X6" i="5"/>
  <c r="X7" i="5"/>
  <c r="X8" i="5"/>
  <c r="X9" i="5"/>
  <c r="X15" i="5"/>
  <c r="X16" i="5"/>
  <c r="X17" i="5"/>
  <c r="X18" i="5"/>
  <c r="X19" i="5"/>
  <c r="X25" i="5"/>
  <c r="X26" i="5"/>
  <c r="X27" i="5"/>
  <c r="X28" i="5"/>
  <c r="X29" i="5"/>
  <c r="X35" i="5"/>
  <c r="X36" i="5"/>
  <c r="X37" i="5"/>
  <c r="X38" i="5"/>
  <c r="X39" i="5"/>
  <c r="X45" i="5"/>
  <c r="X46" i="5"/>
  <c r="X47" i="5"/>
  <c r="X48" i="5"/>
  <c r="X49" i="5"/>
  <c r="A75" i="9"/>
  <c r="A74" i="9"/>
  <c r="A72" i="9"/>
  <c r="A71" i="9"/>
  <c r="A69" i="9"/>
  <c r="A68" i="9"/>
  <c r="A126" i="9"/>
  <c r="A152" i="1"/>
  <c r="A151" i="1"/>
  <c r="A150" i="1"/>
  <c r="A149" i="1"/>
  <c r="A148" i="1"/>
  <c r="A147" i="1"/>
  <c r="B112" i="9"/>
  <c r="C112" i="9"/>
  <c r="D112" i="9"/>
  <c r="E112" i="9"/>
  <c r="F112" i="9"/>
  <c r="G95" i="11"/>
  <c r="G94" i="11"/>
  <c r="G90" i="11"/>
  <c r="G89" i="11"/>
  <c r="G88" i="11"/>
  <c r="V41" i="11"/>
  <c r="V11" i="11"/>
  <c r="V35" i="11"/>
  <c r="V29" i="11"/>
  <c r="V23" i="11"/>
  <c r="V17" i="11"/>
  <c r="G95" i="10"/>
  <c r="G94" i="10"/>
  <c r="G90" i="10"/>
  <c r="G89" i="10"/>
  <c r="G88" i="10"/>
  <c r="V41" i="10"/>
  <c r="V11" i="10"/>
  <c r="V35" i="10"/>
  <c r="V29" i="10"/>
  <c r="V23" i="10"/>
  <c r="V17" i="10"/>
  <c r="A82" i="9"/>
  <c r="A81" i="9"/>
  <c r="A80" i="9"/>
  <c r="A79" i="9"/>
  <c r="A118" i="1"/>
  <c r="A119" i="1"/>
  <c r="A120" i="1"/>
  <c r="A121" i="1"/>
  <c r="A122" i="1"/>
  <c r="V41" i="9"/>
  <c r="V35" i="9"/>
  <c r="V29" i="9"/>
  <c r="V23" i="9"/>
  <c r="V17" i="9"/>
  <c r="K49" i="5"/>
  <c r="K48" i="5"/>
  <c r="K47" i="5"/>
  <c r="K46" i="5"/>
  <c r="K45" i="5"/>
  <c r="K39" i="5"/>
  <c r="K38" i="5"/>
  <c r="K37" i="5"/>
  <c r="K36" i="5"/>
  <c r="K35" i="5"/>
  <c r="K29" i="5"/>
  <c r="K28" i="5"/>
  <c r="K27" i="5"/>
  <c r="K26" i="5"/>
  <c r="K25" i="5"/>
  <c r="K19" i="5"/>
  <c r="K17" i="5"/>
  <c r="K16" i="5"/>
  <c r="K15" i="5"/>
  <c r="K9" i="5"/>
  <c r="K8" i="5"/>
  <c r="K7" i="5"/>
  <c r="K6" i="5"/>
  <c r="K18" i="5"/>
  <c r="K5" i="5"/>
  <c r="E5" i="12"/>
  <c r="E6" i="12"/>
  <c r="E7" i="12"/>
  <c r="E8" i="12"/>
  <c r="E9" i="12"/>
  <c r="E10" i="12"/>
  <c r="E11" i="12"/>
  <c r="E12" i="12"/>
  <c r="E13" i="12"/>
  <c r="E14" i="12"/>
  <c r="E20" i="12"/>
  <c r="E21" i="12"/>
  <c r="E22" i="12"/>
  <c r="E23" i="12"/>
  <c r="E24" i="12"/>
  <c r="E25" i="12"/>
  <c r="E26" i="12"/>
  <c r="E27" i="12"/>
  <c r="E28" i="12"/>
  <c r="E29" i="12"/>
  <c r="E35" i="12"/>
  <c r="E36" i="12"/>
  <c r="E37" i="12"/>
  <c r="E38" i="12"/>
  <c r="E39" i="12"/>
  <c r="E40" i="12"/>
  <c r="E41" i="12"/>
  <c r="E42" i="12"/>
  <c r="E43" i="12"/>
  <c r="E44" i="12"/>
  <c r="E50" i="12"/>
  <c r="E51" i="12"/>
  <c r="E52" i="12"/>
  <c r="E53" i="12"/>
  <c r="E54" i="12"/>
  <c r="E55" i="12"/>
  <c r="E56" i="12"/>
  <c r="E57" i="12"/>
  <c r="E58" i="12"/>
  <c r="E59" i="12"/>
  <c r="E65" i="12"/>
  <c r="E66" i="12"/>
  <c r="E67" i="12"/>
  <c r="E68" i="12"/>
  <c r="E69" i="12"/>
  <c r="E70" i="12"/>
  <c r="E71" i="12"/>
  <c r="E72" i="12"/>
  <c r="E73" i="12"/>
  <c r="E74" i="12"/>
  <c r="G122" i="9"/>
  <c r="G111" i="9"/>
  <c r="G110" i="9"/>
  <c r="G109" i="9"/>
  <c r="G108" i="9"/>
  <c r="G107" i="9"/>
  <c r="G106" i="9"/>
  <c r="G99" i="9"/>
  <c r="G104" i="9"/>
  <c r="G90" i="9"/>
  <c r="G89" i="9"/>
  <c r="G88" i="9"/>
  <c r="G95" i="9"/>
  <c r="G94" i="9"/>
  <c r="E14" i="7"/>
  <c r="E13" i="7"/>
  <c r="E12" i="7"/>
  <c r="E11" i="7"/>
  <c r="E10" i="7"/>
  <c r="E5" i="7"/>
  <c r="E8" i="7"/>
  <c r="E9" i="7"/>
  <c r="G131" i="1"/>
  <c r="P3" i="1"/>
  <c r="P4" i="1" s="1"/>
  <c r="P5" i="1" s="1"/>
  <c r="G130" i="1"/>
  <c r="G129" i="1"/>
  <c r="B93" i="1" l="1"/>
  <c r="O94" i="1"/>
  <c r="B94" i="1" s="1"/>
  <c r="B99" i="1"/>
  <c r="O100" i="1"/>
  <c r="B100" i="1" s="1"/>
  <c r="J101" i="1" s="1"/>
  <c r="B25" i="1"/>
  <c r="O26" i="1"/>
  <c r="B26" i="1" s="1"/>
  <c r="B45" i="1"/>
  <c r="O46" i="1"/>
  <c r="B46" i="1" s="1"/>
  <c r="J47" i="1" s="1"/>
  <c r="B20" i="1"/>
  <c r="O21" i="1"/>
  <c r="B21" i="1" s="1"/>
  <c r="B30" i="1"/>
  <c r="O31" i="1"/>
  <c r="B31" i="1" s="1"/>
  <c r="B35" i="1"/>
  <c r="O36" i="1"/>
  <c r="B36" i="1" s="1"/>
  <c r="B87" i="1"/>
  <c r="O88" i="1"/>
  <c r="B88" i="1" s="1"/>
  <c r="J89" i="1" s="1"/>
  <c r="B40" i="1"/>
  <c r="O41" i="1"/>
  <c r="B41" i="1" s="1"/>
  <c r="B50" i="1"/>
  <c r="O51" i="1"/>
  <c r="B51" i="1" s="1"/>
  <c r="J52" i="1" s="1"/>
  <c r="B15" i="1"/>
  <c r="O16" i="1"/>
  <c r="B16" i="1" s="1"/>
  <c r="B10" i="1"/>
  <c r="O11" i="1"/>
  <c r="B11" i="1" s="1"/>
  <c r="G91" i="11"/>
  <c r="B82" i="14"/>
  <c r="G100" i="10"/>
  <c r="G91" i="14"/>
  <c r="G96" i="13"/>
  <c r="B119" i="14"/>
  <c r="G119" i="14" s="1"/>
  <c r="B103" i="11"/>
  <c r="B114" i="11" s="1"/>
  <c r="G121" i="13"/>
  <c r="K30" i="5"/>
  <c r="D135" i="1" s="1"/>
  <c r="J67" i="16"/>
  <c r="G119" i="10"/>
  <c r="G91" i="10"/>
  <c r="G96" i="11"/>
  <c r="E60" i="7"/>
  <c r="E15" i="7"/>
  <c r="X40" i="5"/>
  <c r="E136" i="1" s="1"/>
  <c r="G121" i="11"/>
  <c r="G119" i="11"/>
  <c r="B103" i="13"/>
  <c r="G119" i="13"/>
  <c r="G91" i="13"/>
  <c r="B103" i="14"/>
  <c r="B120" i="14" s="1"/>
  <c r="J62" i="16"/>
  <c r="P4" i="14"/>
  <c r="J57" i="16"/>
  <c r="B113" i="16"/>
  <c r="B110" i="16"/>
  <c r="J23" i="11"/>
  <c r="J41" i="11"/>
  <c r="A108" i="1"/>
  <c r="J29" i="14"/>
  <c r="J11" i="14"/>
  <c r="J23" i="10"/>
  <c r="J62" i="1"/>
  <c r="E75" i="12"/>
  <c r="F140" i="1" s="1"/>
  <c r="F141" i="1" s="1"/>
  <c r="F169" i="1" s="1"/>
  <c r="K20" i="5"/>
  <c r="C135" i="1" s="1"/>
  <c r="X20" i="5"/>
  <c r="C136" i="1" s="1"/>
  <c r="G112" i="10"/>
  <c r="E30" i="7"/>
  <c r="E45" i="12"/>
  <c r="D140" i="1" s="1"/>
  <c r="D141" i="1" s="1"/>
  <c r="D169" i="1" s="1"/>
  <c r="X10" i="5"/>
  <c r="F167" i="1"/>
  <c r="G167" i="1" s="1"/>
  <c r="G132" i="1"/>
  <c r="A112" i="1"/>
  <c r="G100" i="13"/>
  <c r="G121" i="10"/>
  <c r="G96" i="10"/>
  <c r="J35" i="11"/>
  <c r="G100" i="11"/>
  <c r="J35" i="14"/>
  <c r="G112" i="11"/>
  <c r="J41" i="10"/>
  <c r="J35" i="13"/>
  <c r="B81" i="13"/>
  <c r="J11" i="13"/>
  <c r="J23" i="13"/>
  <c r="G112" i="13"/>
  <c r="B80" i="13"/>
  <c r="K50" i="5"/>
  <c r="F135" i="1" s="1"/>
  <c r="J35" i="10"/>
  <c r="G96" i="14"/>
  <c r="B82" i="10"/>
  <c r="J17" i="11"/>
  <c r="B80" i="14"/>
  <c r="G121" i="1"/>
  <c r="G122" i="1"/>
  <c r="E75" i="7"/>
  <c r="G121" i="14"/>
  <c r="E45" i="7"/>
  <c r="E15" i="12"/>
  <c r="X50" i="5"/>
  <c r="F136" i="1" s="1"/>
  <c r="B136" i="1"/>
  <c r="X30" i="5"/>
  <c r="D136" i="1" s="1"/>
  <c r="J11" i="10"/>
  <c r="B79" i="10"/>
  <c r="E60" i="12"/>
  <c r="E140" i="1" s="1"/>
  <c r="E141" i="1" s="1"/>
  <c r="E169" i="1" s="1"/>
  <c r="E30" i="12"/>
  <c r="C140" i="1" s="1"/>
  <c r="C141" i="1" s="1"/>
  <c r="C169" i="1" s="1"/>
  <c r="K10" i="5"/>
  <c r="K40" i="5"/>
  <c r="E135" i="1" s="1"/>
  <c r="J17" i="10"/>
  <c r="B81" i="10"/>
  <c r="B79" i="13"/>
  <c r="J17" i="13"/>
  <c r="J29" i="13"/>
  <c r="J41" i="13"/>
  <c r="B76" i="14"/>
  <c r="B80" i="10"/>
  <c r="B82" i="13"/>
  <c r="J41" i="14"/>
  <c r="G100" i="14"/>
  <c r="G112" i="14"/>
  <c r="B104" i="1"/>
  <c r="B80" i="11"/>
  <c r="B81" i="11"/>
  <c r="J23" i="14"/>
  <c r="J29" i="10"/>
  <c r="B76" i="10"/>
  <c r="B81" i="14"/>
  <c r="B114" i="13"/>
  <c r="J5" i="9"/>
  <c r="K51" i="9" s="1"/>
  <c r="G96" i="9"/>
  <c r="B82" i="9"/>
  <c r="J29" i="11"/>
  <c r="B76" i="11"/>
  <c r="B82" i="11"/>
  <c r="J17" i="14"/>
  <c r="B79" i="14"/>
  <c r="B120" i="13"/>
  <c r="B76" i="13"/>
  <c r="J11" i="11"/>
  <c r="B79" i="11"/>
  <c r="B114" i="10"/>
  <c r="B103" i="9"/>
  <c r="B120" i="9" s="1"/>
  <c r="G112" i="9"/>
  <c r="G100" i="9"/>
  <c r="G91" i="9"/>
  <c r="B80" i="9"/>
  <c r="G119" i="9"/>
  <c r="J35" i="9"/>
  <c r="B79" i="9"/>
  <c r="J11" i="9"/>
  <c r="J41" i="9"/>
  <c r="B121" i="9"/>
  <c r="G121" i="9" s="1"/>
  <c r="B81" i="9"/>
  <c r="J29" i="9"/>
  <c r="J23" i="9"/>
  <c r="P2" i="9"/>
  <c r="P3" i="9" s="1"/>
  <c r="P4" i="9" s="1"/>
  <c r="J17" i="9"/>
  <c r="B76" i="9"/>
  <c r="B118" i="1"/>
  <c r="P3" i="13"/>
  <c r="P4" i="13" s="1"/>
  <c r="B9" i="1"/>
  <c r="P4" i="10"/>
  <c r="P4" i="11"/>
  <c r="J5" i="10"/>
  <c r="K40" i="10" s="1"/>
  <c r="K112" i="1"/>
  <c r="K94" i="1"/>
  <c r="C94" i="1" s="1"/>
  <c r="K35" i="1"/>
  <c r="C35" i="1" s="1"/>
  <c r="K14" i="1"/>
  <c r="C14" i="1" s="1"/>
  <c r="A4" i="1"/>
  <c r="K82" i="1"/>
  <c r="K29" i="1"/>
  <c r="L29" i="1" s="1"/>
  <c r="K10" i="1"/>
  <c r="K26" i="1"/>
  <c r="L26" i="1" s="1"/>
  <c r="K87" i="1"/>
  <c r="K36" i="1"/>
  <c r="L36" i="1" s="1"/>
  <c r="M36" i="1" s="1"/>
  <c r="K24" i="1"/>
  <c r="C24" i="1" s="1"/>
  <c r="K39" i="1"/>
  <c r="L39" i="1" s="1"/>
  <c r="K51" i="1"/>
  <c r="K64" i="1"/>
  <c r="J57" i="1"/>
  <c r="J71" i="1"/>
  <c r="K99" i="1"/>
  <c r="C99" i="1" s="1"/>
  <c r="K34" i="1"/>
  <c r="K40" i="1"/>
  <c r="L40" i="1" s="1"/>
  <c r="M40" i="1" s="1"/>
  <c r="K60" i="1"/>
  <c r="J67" i="1"/>
  <c r="K50" i="1"/>
  <c r="L50" i="1" s="1"/>
  <c r="M50" i="1" s="1"/>
  <c r="E50" i="1" s="1"/>
  <c r="K61" i="1"/>
  <c r="K44" i="1"/>
  <c r="C44" i="1" s="1"/>
  <c r="K41" i="1"/>
  <c r="L41" i="1" s="1"/>
  <c r="K11" i="1"/>
  <c r="K25" i="1"/>
  <c r="K70" i="1"/>
  <c r="C70" i="1" s="1"/>
  <c r="K86" i="1"/>
  <c r="C86" i="1" s="1"/>
  <c r="K93" i="1"/>
  <c r="C93" i="1" s="1"/>
  <c r="K100" i="1"/>
  <c r="K65" i="1"/>
  <c r="K55" i="1"/>
  <c r="K15" i="1"/>
  <c r="L15" i="1" s="1"/>
  <c r="K66" i="1"/>
  <c r="K56" i="1"/>
  <c r="K45" i="1"/>
  <c r="K16" i="1"/>
  <c r="K30" i="1"/>
  <c r="L30" i="1" s="1"/>
  <c r="K59" i="1"/>
  <c r="K49" i="1"/>
  <c r="C49" i="1" s="1"/>
  <c r="K46" i="1"/>
  <c r="L46" i="1" s="1"/>
  <c r="K19" i="1"/>
  <c r="K31" i="1"/>
  <c r="K78" i="1"/>
  <c r="C78" i="1" s="1"/>
  <c r="K88" i="1"/>
  <c r="K98" i="1"/>
  <c r="K108" i="1"/>
  <c r="C74" i="1"/>
  <c r="K21" i="1"/>
  <c r="C21" i="1" s="1"/>
  <c r="K104" i="1"/>
  <c r="K103" i="1" s="1"/>
  <c r="K92" i="1"/>
  <c r="C92" i="1" s="1"/>
  <c r="K20" i="1"/>
  <c r="C20" i="1" s="1"/>
  <c r="J5" i="11"/>
  <c r="K61" i="11" s="1"/>
  <c r="J5" i="13"/>
  <c r="K55" i="13" s="1"/>
  <c r="L55" i="13" s="1"/>
  <c r="J5" i="14"/>
  <c r="K65" i="14" s="1"/>
  <c r="B144" i="1"/>
  <c r="J32" i="1" l="1"/>
  <c r="C11" i="1"/>
  <c r="E36" i="1"/>
  <c r="J22" i="1"/>
  <c r="J95" i="1"/>
  <c r="J37" i="1"/>
  <c r="J27" i="1"/>
  <c r="B168" i="1"/>
  <c r="B119" i="1"/>
  <c r="J42" i="1"/>
  <c r="J17" i="1"/>
  <c r="J12" i="1"/>
  <c r="B120" i="11"/>
  <c r="B114" i="14"/>
  <c r="K81" i="1"/>
  <c r="C82" i="1"/>
  <c r="K83" i="1" s="1"/>
  <c r="D137" i="1"/>
  <c r="B114" i="9"/>
  <c r="L108" i="1"/>
  <c r="D108" i="1" s="1"/>
  <c r="L109" i="1" s="1"/>
  <c r="K107" i="1"/>
  <c r="L112" i="1"/>
  <c r="L111" i="1" s="1"/>
  <c r="K111" i="1"/>
  <c r="E137" i="1"/>
  <c r="L94" i="1"/>
  <c r="M94" i="1" s="1"/>
  <c r="N94" i="1" s="1"/>
  <c r="L56" i="1"/>
  <c r="L56" i="16" s="1"/>
  <c r="K56" i="16"/>
  <c r="L64" i="1"/>
  <c r="L64" i="16" s="1"/>
  <c r="K64" i="16"/>
  <c r="L61" i="1"/>
  <c r="L61" i="16" s="1"/>
  <c r="K61" i="16"/>
  <c r="C66" i="1"/>
  <c r="K66" i="16"/>
  <c r="C60" i="1"/>
  <c r="K60" i="16"/>
  <c r="C59" i="1"/>
  <c r="K59" i="16"/>
  <c r="C55" i="1"/>
  <c r="K55" i="16"/>
  <c r="C65" i="1"/>
  <c r="K65" i="16"/>
  <c r="K20" i="9"/>
  <c r="L20" i="9" s="1"/>
  <c r="K39" i="9"/>
  <c r="C39" i="9" s="1"/>
  <c r="B117" i="1"/>
  <c r="C26" i="1"/>
  <c r="C50" i="1"/>
  <c r="C137" i="1"/>
  <c r="L24" i="1"/>
  <c r="D24" i="1" s="1"/>
  <c r="K15" i="9"/>
  <c r="C40" i="1"/>
  <c r="C41" i="1"/>
  <c r="L21" i="1"/>
  <c r="M21" i="1" s="1"/>
  <c r="E21" i="1" s="1"/>
  <c r="K64" i="10"/>
  <c r="C64" i="10" s="1"/>
  <c r="K65" i="10"/>
  <c r="L65" i="10" s="1"/>
  <c r="D65" i="10" s="1"/>
  <c r="L65" i="1"/>
  <c r="L14" i="1"/>
  <c r="K54" i="10"/>
  <c r="L54" i="10" s="1"/>
  <c r="D54" i="10" s="1"/>
  <c r="K64" i="13"/>
  <c r="C64" i="13" s="1"/>
  <c r="K38" i="9"/>
  <c r="L38" i="9" s="1"/>
  <c r="K21" i="9"/>
  <c r="C21" i="9" s="1"/>
  <c r="K69" i="9"/>
  <c r="L69" i="9" s="1"/>
  <c r="C36" i="1"/>
  <c r="C112" i="1"/>
  <c r="K113" i="1" s="1"/>
  <c r="K75" i="9"/>
  <c r="L75" i="9" s="1"/>
  <c r="M75" i="9" s="1"/>
  <c r="E75" i="9" s="1"/>
  <c r="L86" i="1"/>
  <c r="M86" i="1" s="1"/>
  <c r="K66" i="9"/>
  <c r="C66" i="9" s="1"/>
  <c r="K55" i="10"/>
  <c r="L55" i="10" s="1"/>
  <c r="D55" i="10" s="1"/>
  <c r="L82" i="1"/>
  <c r="K61" i="9"/>
  <c r="L61" i="9" s="1"/>
  <c r="D61" i="9" s="1"/>
  <c r="K65" i="9"/>
  <c r="L65" i="9" s="1"/>
  <c r="K54" i="9"/>
  <c r="C54" i="9" s="1"/>
  <c r="C64" i="1"/>
  <c r="B120" i="16"/>
  <c r="B184" i="1"/>
  <c r="K28" i="9"/>
  <c r="C28" i="9" s="1"/>
  <c r="K48" i="9"/>
  <c r="C48" i="9" s="1"/>
  <c r="K16" i="9"/>
  <c r="L16" i="9" s="1"/>
  <c r="K14" i="9"/>
  <c r="L14" i="9" s="1"/>
  <c r="D14" i="9" s="1"/>
  <c r="K9" i="9"/>
  <c r="L9" i="9" s="1"/>
  <c r="M9" i="9" s="1"/>
  <c r="E9" i="9" s="1"/>
  <c r="K40" i="9"/>
  <c r="K27" i="9"/>
  <c r="L27" i="9" s="1"/>
  <c r="D27" i="9" s="1"/>
  <c r="C51" i="9"/>
  <c r="K33" i="9"/>
  <c r="K10" i="9"/>
  <c r="C10" i="9" s="1"/>
  <c r="K60" i="9"/>
  <c r="L60" i="9" s="1"/>
  <c r="K22" i="9"/>
  <c r="C22" i="9" s="1"/>
  <c r="L51" i="9"/>
  <c r="D51" i="9" s="1"/>
  <c r="K64" i="9"/>
  <c r="L64" i="9" s="1"/>
  <c r="D64" i="9" s="1"/>
  <c r="K59" i="9"/>
  <c r="L59" i="9" s="1"/>
  <c r="M59" i="9" s="1"/>
  <c r="B83" i="13"/>
  <c r="B85" i="13" s="1"/>
  <c r="B118" i="13" s="1"/>
  <c r="B116" i="13" s="1"/>
  <c r="B83" i="14"/>
  <c r="B85" i="14" s="1"/>
  <c r="B118" i="14" s="1"/>
  <c r="B155" i="1" s="1"/>
  <c r="B83" i="10"/>
  <c r="B85" i="10" s="1"/>
  <c r="B118" i="10" s="1"/>
  <c r="X52" i="5"/>
  <c r="F137" i="1"/>
  <c r="K60" i="10"/>
  <c r="L60" i="10" s="1"/>
  <c r="K56" i="10"/>
  <c r="C56" i="10" s="1"/>
  <c r="K28" i="10"/>
  <c r="L28" i="10" s="1"/>
  <c r="M28" i="10" s="1"/>
  <c r="N28" i="10" s="1"/>
  <c r="F28" i="10" s="1"/>
  <c r="K54" i="11"/>
  <c r="L54" i="11" s="1"/>
  <c r="D54" i="11" s="1"/>
  <c r="K59" i="10"/>
  <c r="C59" i="10" s="1"/>
  <c r="K66" i="10"/>
  <c r="L66" i="10" s="1"/>
  <c r="M66" i="10" s="1"/>
  <c r="E66" i="10" s="1"/>
  <c r="K15" i="10"/>
  <c r="L15" i="10" s="1"/>
  <c r="M15" i="10" s="1"/>
  <c r="K55" i="14"/>
  <c r="L55" i="14" s="1"/>
  <c r="M55" i="14" s="1"/>
  <c r="E55" i="14" s="1"/>
  <c r="K61" i="10"/>
  <c r="L61" i="10" s="1"/>
  <c r="M61" i="10" s="1"/>
  <c r="N61" i="10" s="1"/>
  <c r="F61" i="10" s="1"/>
  <c r="K32" i="9"/>
  <c r="C32" i="9" s="1"/>
  <c r="K45" i="9"/>
  <c r="C45" i="9" s="1"/>
  <c r="K34" i="9"/>
  <c r="C34" i="9" s="1"/>
  <c r="K8" i="9"/>
  <c r="L8" i="9" s="1"/>
  <c r="M8" i="9" s="1"/>
  <c r="K26" i="9"/>
  <c r="C26" i="9" s="1"/>
  <c r="K56" i="9"/>
  <c r="C56" i="9" s="1"/>
  <c r="A3" i="9"/>
  <c r="K55" i="9"/>
  <c r="L55" i="9" s="1"/>
  <c r="D55" i="9" s="1"/>
  <c r="C40" i="10"/>
  <c r="K72" i="9"/>
  <c r="L72" i="9" s="1"/>
  <c r="D72" i="9" s="1"/>
  <c r="K56" i="11"/>
  <c r="L56" i="11" s="1"/>
  <c r="D56" i="11" s="1"/>
  <c r="G136" i="1"/>
  <c r="K59" i="11"/>
  <c r="L59" i="11" s="1"/>
  <c r="M59" i="11" s="1"/>
  <c r="B83" i="11"/>
  <c r="B85" i="11" s="1"/>
  <c r="B118" i="11" s="1"/>
  <c r="B116" i="11" s="1"/>
  <c r="B135" i="1"/>
  <c r="G135" i="1" s="1"/>
  <c r="K52" i="5"/>
  <c r="E77" i="12"/>
  <c r="B140" i="1"/>
  <c r="K55" i="11"/>
  <c r="C55" i="11" s="1"/>
  <c r="K60" i="11"/>
  <c r="K58" i="11" s="1"/>
  <c r="B114" i="1"/>
  <c r="B120" i="1"/>
  <c r="J105" i="1"/>
  <c r="E77" i="7"/>
  <c r="B83" i="9"/>
  <c r="B85" i="9" s="1"/>
  <c r="B118" i="9" s="1"/>
  <c r="C65" i="14"/>
  <c r="K59" i="14"/>
  <c r="C59" i="14" s="1"/>
  <c r="C39" i="1"/>
  <c r="K75" i="10"/>
  <c r="C75" i="10" s="1"/>
  <c r="K8" i="10"/>
  <c r="L8" i="10" s="1"/>
  <c r="D8" i="10" s="1"/>
  <c r="N50" i="1"/>
  <c r="F50" i="1" s="1"/>
  <c r="L92" i="1"/>
  <c r="M92" i="1" s="1"/>
  <c r="E92" i="1" s="1"/>
  <c r="K16" i="10"/>
  <c r="A3" i="10"/>
  <c r="K60" i="14"/>
  <c r="L60" i="14" s="1"/>
  <c r="M60" i="14" s="1"/>
  <c r="K61" i="14"/>
  <c r="L61" i="14" s="1"/>
  <c r="D61" i="14" s="1"/>
  <c r="L65" i="14"/>
  <c r="D65" i="14" s="1"/>
  <c r="K72" i="10"/>
  <c r="K27" i="10"/>
  <c r="K34" i="10"/>
  <c r="C34" i="10" s="1"/>
  <c r="K56" i="14"/>
  <c r="C56" i="14" s="1"/>
  <c r="L44" i="1"/>
  <c r="M44" i="1" s="1"/>
  <c r="C108" i="1"/>
  <c r="K109" i="1" s="1"/>
  <c r="K69" i="10"/>
  <c r="K22" i="10"/>
  <c r="C9" i="1"/>
  <c r="D54" i="1"/>
  <c r="D54" i="16" s="1"/>
  <c r="E54" i="1"/>
  <c r="E54" i="16" s="1"/>
  <c r="C98" i="1"/>
  <c r="L98" i="1"/>
  <c r="M98" i="1" s="1"/>
  <c r="L19" i="1"/>
  <c r="C19" i="1"/>
  <c r="K22" i="1" s="1"/>
  <c r="D41" i="1"/>
  <c r="M41" i="1"/>
  <c r="M38" i="1" s="1"/>
  <c r="C10" i="1"/>
  <c r="L10" i="1"/>
  <c r="M10" i="1" s="1"/>
  <c r="L35" i="1"/>
  <c r="L33" i="1" s="1"/>
  <c r="K33" i="1"/>
  <c r="C100" i="1"/>
  <c r="L100" i="1"/>
  <c r="M100" i="1" s="1"/>
  <c r="E100" i="1" s="1"/>
  <c r="K23" i="1"/>
  <c r="C25" i="1"/>
  <c r="L25" i="1"/>
  <c r="L23" i="1" s="1"/>
  <c r="D50" i="1"/>
  <c r="L34" i="1"/>
  <c r="D34" i="1" s="1"/>
  <c r="C34" i="1"/>
  <c r="L61" i="11"/>
  <c r="D61" i="11" s="1"/>
  <c r="C61" i="11"/>
  <c r="K61" i="13"/>
  <c r="C61" i="13" s="1"/>
  <c r="C55" i="13"/>
  <c r="K56" i="13"/>
  <c r="K53" i="13" s="1"/>
  <c r="K59" i="13"/>
  <c r="L59" i="13" s="1"/>
  <c r="K54" i="13"/>
  <c r="K52" i="13" s="1"/>
  <c r="K65" i="13"/>
  <c r="C65" i="13" s="1"/>
  <c r="K60" i="13"/>
  <c r="C51" i="1"/>
  <c r="L51" i="1"/>
  <c r="L48" i="1" s="1"/>
  <c r="D36" i="1"/>
  <c r="L11" i="1"/>
  <c r="L59" i="1"/>
  <c r="C29" i="1"/>
  <c r="K10" i="10"/>
  <c r="C10" i="10" s="1"/>
  <c r="K20" i="10"/>
  <c r="K21" i="10"/>
  <c r="K48" i="10"/>
  <c r="K38" i="10"/>
  <c r="K33" i="10"/>
  <c r="K51" i="10"/>
  <c r="K14" i="10"/>
  <c r="C14" i="10" s="1"/>
  <c r="K39" i="10"/>
  <c r="K37" i="10" s="1"/>
  <c r="K45" i="10"/>
  <c r="K26" i="10"/>
  <c r="K32" i="10"/>
  <c r="C32" i="10" s="1"/>
  <c r="K9" i="10"/>
  <c r="L93" i="1"/>
  <c r="D93" i="1" s="1"/>
  <c r="K63" i="1"/>
  <c r="C61" i="1"/>
  <c r="K48" i="1"/>
  <c r="C46" i="1"/>
  <c r="E40" i="1"/>
  <c r="N40" i="1"/>
  <c r="C16" i="9"/>
  <c r="M55" i="13"/>
  <c r="D55" i="13"/>
  <c r="K54" i="14"/>
  <c r="K64" i="14"/>
  <c r="L64" i="14" s="1"/>
  <c r="F54" i="1"/>
  <c r="F54" i="16" s="1"/>
  <c r="D29" i="1"/>
  <c r="M29" i="1"/>
  <c r="M20" i="9"/>
  <c r="D20" i="9"/>
  <c r="M46" i="1"/>
  <c r="D46" i="1"/>
  <c r="D40" i="1"/>
  <c r="L38" i="1"/>
  <c r="D15" i="1"/>
  <c r="M15" i="1"/>
  <c r="M26" i="1"/>
  <c r="D26" i="1"/>
  <c r="N36" i="1"/>
  <c r="K85" i="1"/>
  <c r="C88" i="1"/>
  <c r="L88" i="1"/>
  <c r="D39" i="1"/>
  <c r="M39" i="1"/>
  <c r="K43" i="1"/>
  <c r="L45" i="1"/>
  <c r="C45" i="1"/>
  <c r="K69" i="1"/>
  <c r="L70" i="1"/>
  <c r="D70" i="1" s="1"/>
  <c r="D9" i="1"/>
  <c r="C54" i="1"/>
  <c r="C54" i="16" s="1"/>
  <c r="C104" i="1"/>
  <c r="L104" i="1"/>
  <c r="L103" i="1" s="1"/>
  <c r="K73" i="1"/>
  <c r="D74" i="1"/>
  <c r="K77" i="1"/>
  <c r="K79" i="1"/>
  <c r="L78" i="1"/>
  <c r="D78" i="1" s="1"/>
  <c r="M30" i="1"/>
  <c r="D30" i="1"/>
  <c r="K58" i="1"/>
  <c r="L60" i="1"/>
  <c r="L60" i="16" s="1"/>
  <c r="L87" i="1"/>
  <c r="C87" i="1"/>
  <c r="K18" i="1"/>
  <c r="L20" i="1"/>
  <c r="C31" i="1"/>
  <c r="L31" i="1"/>
  <c r="C16" i="1"/>
  <c r="L16" i="1"/>
  <c r="L13" i="1" s="1"/>
  <c r="L49" i="1"/>
  <c r="C56" i="1"/>
  <c r="L55" i="1"/>
  <c r="K13" i="1"/>
  <c r="K8" i="1"/>
  <c r="C15" i="1"/>
  <c r="K28" i="1"/>
  <c r="K84" i="1"/>
  <c r="L66" i="1"/>
  <c r="L66" i="16" s="1"/>
  <c r="K97" i="1"/>
  <c r="C30" i="1"/>
  <c r="L99" i="1"/>
  <c r="L40" i="10"/>
  <c r="K75" i="14"/>
  <c r="C75" i="14" s="1"/>
  <c r="K66" i="14"/>
  <c r="C66" i="14" s="1"/>
  <c r="K51" i="14"/>
  <c r="C51" i="14" s="1"/>
  <c r="K69" i="14"/>
  <c r="C69" i="14" s="1"/>
  <c r="K27" i="14"/>
  <c r="L27" i="14" s="1"/>
  <c r="K22" i="14"/>
  <c r="C22" i="14" s="1"/>
  <c r="K15" i="14"/>
  <c r="C15" i="14" s="1"/>
  <c r="K72" i="14"/>
  <c r="C72" i="14" s="1"/>
  <c r="K34" i="14"/>
  <c r="C34" i="14" s="1"/>
  <c r="K10" i="14"/>
  <c r="C10" i="14" s="1"/>
  <c r="K39" i="14"/>
  <c r="L39" i="14" s="1"/>
  <c r="K26" i="14"/>
  <c r="C26" i="14" s="1"/>
  <c r="K40" i="14"/>
  <c r="C40" i="14" s="1"/>
  <c r="K32" i="14"/>
  <c r="K20" i="14"/>
  <c r="C20" i="14" s="1"/>
  <c r="K48" i="14"/>
  <c r="C48" i="14" s="1"/>
  <c r="K21" i="14"/>
  <c r="L21" i="14" s="1"/>
  <c r="K45" i="14"/>
  <c r="C45" i="14" s="1"/>
  <c r="K8" i="14"/>
  <c r="C8" i="14" s="1"/>
  <c r="K38" i="14"/>
  <c r="C38" i="14" s="1"/>
  <c r="K16" i="14"/>
  <c r="C16" i="14" s="1"/>
  <c r="K9" i="14"/>
  <c r="L9" i="14" s="1"/>
  <c r="A3" i="14"/>
  <c r="K28" i="14"/>
  <c r="K14" i="14"/>
  <c r="C14" i="14" s="1"/>
  <c r="K33" i="14"/>
  <c r="L33" i="14" s="1"/>
  <c r="K39" i="13"/>
  <c r="C39" i="13" s="1"/>
  <c r="K20" i="13"/>
  <c r="C20" i="13" s="1"/>
  <c r="K40" i="13"/>
  <c r="C40" i="13" s="1"/>
  <c r="K14" i="13"/>
  <c r="C14" i="13" s="1"/>
  <c r="K8" i="13"/>
  <c r="K72" i="13"/>
  <c r="C72" i="13" s="1"/>
  <c r="K16" i="13"/>
  <c r="K9" i="13"/>
  <c r="C9" i="13" s="1"/>
  <c r="K66" i="13"/>
  <c r="L66" i="13" s="1"/>
  <c r="D66" i="13" s="1"/>
  <c r="K34" i="13"/>
  <c r="C34" i="13" s="1"/>
  <c r="K21" i="13"/>
  <c r="C21" i="13" s="1"/>
  <c r="A3" i="13"/>
  <c r="K48" i="13"/>
  <c r="K22" i="13"/>
  <c r="K75" i="13"/>
  <c r="C75" i="13" s="1"/>
  <c r="K38" i="13"/>
  <c r="C38" i="13" s="1"/>
  <c r="K27" i="13"/>
  <c r="C27" i="13" s="1"/>
  <c r="K69" i="13"/>
  <c r="K51" i="13"/>
  <c r="C51" i="13" s="1"/>
  <c r="K28" i="13"/>
  <c r="C28" i="13" s="1"/>
  <c r="K26" i="13"/>
  <c r="C26" i="13" s="1"/>
  <c r="K15" i="13"/>
  <c r="K45" i="13"/>
  <c r="C45" i="13" s="1"/>
  <c r="K32" i="13"/>
  <c r="C32" i="13" s="1"/>
  <c r="K10" i="13"/>
  <c r="L10" i="13" s="1"/>
  <c r="K33" i="13"/>
  <c r="C33" i="13" s="1"/>
  <c r="K96" i="1"/>
  <c r="K90" i="1"/>
  <c r="K91" i="1"/>
  <c r="K38" i="1"/>
  <c r="C56" i="11"/>
  <c r="K64" i="11"/>
  <c r="K65" i="11"/>
  <c r="K75" i="11"/>
  <c r="C75" i="11" s="1"/>
  <c r="K69" i="11"/>
  <c r="C69" i="11" s="1"/>
  <c r="K8" i="11"/>
  <c r="C8" i="11" s="1"/>
  <c r="K20" i="11"/>
  <c r="C20" i="11" s="1"/>
  <c r="K32" i="11"/>
  <c r="C32" i="11" s="1"/>
  <c r="K10" i="11"/>
  <c r="C10" i="11" s="1"/>
  <c r="K48" i="11"/>
  <c r="C48" i="11" s="1"/>
  <c r="K40" i="11"/>
  <c r="C40" i="11" s="1"/>
  <c r="K14" i="11"/>
  <c r="K26" i="11"/>
  <c r="C26" i="11" s="1"/>
  <c r="K15" i="11"/>
  <c r="K34" i="11"/>
  <c r="C34" i="11" s="1"/>
  <c r="K51" i="11"/>
  <c r="C51" i="11" s="1"/>
  <c r="K66" i="11"/>
  <c r="C66" i="11" s="1"/>
  <c r="A3" i="11"/>
  <c r="K21" i="11"/>
  <c r="C21" i="11" s="1"/>
  <c r="K28" i="11"/>
  <c r="C28" i="11" s="1"/>
  <c r="K72" i="11"/>
  <c r="C72" i="11" s="1"/>
  <c r="K39" i="11"/>
  <c r="C39" i="11" s="1"/>
  <c r="K16" i="11"/>
  <c r="K33" i="11"/>
  <c r="K27" i="11"/>
  <c r="K45" i="11"/>
  <c r="C45" i="11" s="1"/>
  <c r="K38" i="11"/>
  <c r="L38" i="11" s="1"/>
  <c r="D38" i="11" s="1"/>
  <c r="K22" i="11"/>
  <c r="C22" i="11" s="1"/>
  <c r="K9" i="11"/>
  <c r="C9" i="11" s="1"/>
  <c r="K95" i="1"/>
  <c r="K53" i="1"/>
  <c r="K71" i="1"/>
  <c r="K75" i="1"/>
  <c r="M112" i="1" l="1"/>
  <c r="M111" i="1" s="1"/>
  <c r="D112" i="1"/>
  <c r="L113" i="1" s="1"/>
  <c r="L32" i="9"/>
  <c r="C60" i="9"/>
  <c r="D86" i="1"/>
  <c r="C54" i="10"/>
  <c r="M54" i="10"/>
  <c r="E54" i="10" s="1"/>
  <c r="D59" i="9"/>
  <c r="L26" i="9"/>
  <c r="D26" i="9" s="1"/>
  <c r="C55" i="10"/>
  <c r="C59" i="11"/>
  <c r="K53" i="16"/>
  <c r="C56" i="16"/>
  <c r="L81" i="1"/>
  <c r="D82" i="1"/>
  <c r="L83" i="1" s="1"/>
  <c r="E94" i="1"/>
  <c r="D94" i="1"/>
  <c r="K27" i="1"/>
  <c r="M64" i="9"/>
  <c r="E64" i="9" s="1"/>
  <c r="M64" i="1"/>
  <c r="M64" i="16" s="1"/>
  <c r="D21" i="1"/>
  <c r="M108" i="1"/>
  <c r="N108" i="1" s="1"/>
  <c r="F108" i="1" s="1"/>
  <c r="N109" i="1" s="1"/>
  <c r="L107" i="1"/>
  <c r="L52" i="10"/>
  <c r="K37" i="9"/>
  <c r="C61" i="10"/>
  <c r="M65" i="14"/>
  <c r="N65" i="14" s="1"/>
  <c r="L64" i="13"/>
  <c r="D64" i="13" s="1"/>
  <c r="L75" i="10"/>
  <c r="M75" i="10" s="1"/>
  <c r="E75" i="10" s="1"/>
  <c r="D92" i="1"/>
  <c r="K52" i="1"/>
  <c r="L58" i="9"/>
  <c r="L21" i="9"/>
  <c r="D21" i="9" s="1"/>
  <c r="M61" i="1"/>
  <c r="M61" i="16" s="1"/>
  <c r="N21" i="1"/>
  <c r="F21" i="1" s="1"/>
  <c r="M54" i="11"/>
  <c r="N54" i="11" s="1"/>
  <c r="F54" i="11" s="1"/>
  <c r="D61" i="1"/>
  <c r="D61" i="16" s="1"/>
  <c r="L28" i="9"/>
  <c r="L25" i="9" s="1"/>
  <c r="M82" i="1"/>
  <c r="C64" i="16"/>
  <c r="L59" i="10"/>
  <c r="L57" i="10" s="1"/>
  <c r="D64" i="1"/>
  <c r="D64" i="16" s="1"/>
  <c r="K63" i="16"/>
  <c r="C60" i="16"/>
  <c r="C59" i="16"/>
  <c r="D56" i="1"/>
  <c r="D56" i="16" s="1"/>
  <c r="M56" i="1"/>
  <c r="M56" i="16" s="1"/>
  <c r="C65" i="10"/>
  <c r="K58" i="9"/>
  <c r="K13" i="9"/>
  <c r="M65" i="1"/>
  <c r="E65" i="1" s="1"/>
  <c r="L65" i="16"/>
  <c r="L63" i="16" s="1"/>
  <c r="M59" i="1"/>
  <c r="E59" i="1" s="1"/>
  <c r="L59" i="16"/>
  <c r="L58" i="16" s="1"/>
  <c r="C55" i="16"/>
  <c r="C66" i="16"/>
  <c r="M24" i="1"/>
  <c r="E24" i="1" s="1"/>
  <c r="L53" i="1"/>
  <c r="L55" i="16"/>
  <c r="L53" i="16" s="1"/>
  <c r="C65" i="16"/>
  <c r="D59" i="11"/>
  <c r="K58" i="16"/>
  <c r="L22" i="9"/>
  <c r="D22" i="9" s="1"/>
  <c r="N9" i="9"/>
  <c r="F9" i="9" s="1"/>
  <c r="C60" i="14"/>
  <c r="K63" i="14"/>
  <c r="D44" i="1"/>
  <c r="K13" i="10"/>
  <c r="M55" i="9"/>
  <c r="N55" i="9" s="1"/>
  <c r="F55" i="9" s="1"/>
  <c r="G50" i="1"/>
  <c r="L59" i="14"/>
  <c r="M59" i="14" s="1"/>
  <c r="E59" i="14" s="1"/>
  <c r="K37" i="1"/>
  <c r="K67" i="1"/>
  <c r="C20" i="9"/>
  <c r="K23" i="9" s="1"/>
  <c r="L60" i="11"/>
  <c r="L58" i="11" s="1"/>
  <c r="D61" i="10"/>
  <c r="C9" i="9"/>
  <c r="L39" i="9"/>
  <c r="D9" i="9"/>
  <c r="E61" i="10"/>
  <c r="M51" i="9"/>
  <c r="L66" i="14"/>
  <c r="L63" i="14" s="1"/>
  <c r="N75" i="9"/>
  <c r="F75" i="9" s="1"/>
  <c r="L56" i="13"/>
  <c r="L53" i="13" s="1"/>
  <c r="C15" i="9"/>
  <c r="L40" i="11"/>
  <c r="D40" i="11" s="1"/>
  <c r="L56" i="14"/>
  <c r="M56" i="14" s="1"/>
  <c r="D75" i="9"/>
  <c r="L15" i="9"/>
  <c r="L13" i="9" s="1"/>
  <c r="C75" i="9"/>
  <c r="C60" i="11"/>
  <c r="D8" i="9"/>
  <c r="B124" i="1"/>
  <c r="B126" i="1" s="1"/>
  <c r="L62" i="14"/>
  <c r="L51" i="14"/>
  <c r="D51" i="14" s="1"/>
  <c r="N100" i="1"/>
  <c r="F100" i="1" s="1"/>
  <c r="N41" i="1"/>
  <c r="F41" i="1" s="1"/>
  <c r="C54" i="13"/>
  <c r="L55" i="11"/>
  <c r="L52" i="11" s="1"/>
  <c r="M72" i="9"/>
  <c r="L34" i="9"/>
  <c r="D34" i="9" s="1"/>
  <c r="K42" i="1"/>
  <c r="C54" i="11"/>
  <c r="L20" i="11"/>
  <c r="M20" i="11" s="1"/>
  <c r="D60" i="14"/>
  <c r="E41" i="1"/>
  <c r="D100" i="1"/>
  <c r="C60" i="10"/>
  <c r="L48" i="9"/>
  <c r="D48" i="9" s="1"/>
  <c r="C27" i="9"/>
  <c r="K29" i="9" s="1"/>
  <c r="K19" i="9"/>
  <c r="L21" i="11"/>
  <c r="M21" i="11" s="1"/>
  <c r="N21" i="11" s="1"/>
  <c r="F21" i="11" s="1"/>
  <c r="C56" i="13"/>
  <c r="L75" i="11"/>
  <c r="D75" i="11" s="1"/>
  <c r="C28" i="10"/>
  <c r="D59" i="1"/>
  <c r="K25" i="9"/>
  <c r="L40" i="13"/>
  <c r="D40" i="13" s="1"/>
  <c r="C8" i="10"/>
  <c r="L56" i="9"/>
  <c r="M56" i="9" s="1"/>
  <c r="C61" i="9"/>
  <c r="C55" i="14"/>
  <c r="C61" i="14"/>
  <c r="M61" i="11"/>
  <c r="N61" i="11" s="1"/>
  <c r="F61" i="11" s="1"/>
  <c r="C80" i="9"/>
  <c r="C72" i="9"/>
  <c r="K62" i="10"/>
  <c r="D65" i="1"/>
  <c r="D65" i="16" s="1"/>
  <c r="C8" i="9"/>
  <c r="C69" i="9"/>
  <c r="L64" i="10"/>
  <c r="L62" i="10" s="1"/>
  <c r="L62" i="9"/>
  <c r="L20" i="13"/>
  <c r="D20" i="13" s="1"/>
  <c r="L63" i="1"/>
  <c r="L40" i="9"/>
  <c r="D40" i="9" s="1"/>
  <c r="C59" i="13"/>
  <c r="C15" i="10"/>
  <c r="M61" i="9"/>
  <c r="N61" i="9" s="1"/>
  <c r="C40" i="9"/>
  <c r="C64" i="9"/>
  <c r="M61" i="14"/>
  <c r="M58" i="14" s="1"/>
  <c r="M56" i="11"/>
  <c r="K31" i="9"/>
  <c r="D14" i="1"/>
  <c r="M14" i="1"/>
  <c r="M60" i="10"/>
  <c r="D60" i="10"/>
  <c r="D69" i="9"/>
  <c r="M69" i="9"/>
  <c r="D66" i="10"/>
  <c r="L40" i="14"/>
  <c r="D40" i="14" s="1"/>
  <c r="M65" i="9"/>
  <c r="N92" i="1"/>
  <c r="F92" i="1" s="1"/>
  <c r="D10" i="1"/>
  <c r="N66" i="10"/>
  <c r="F66" i="10" s="1"/>
  <c r="M65" i="10"/>
  <c r="L56" i="10"/>
  <c r="L53" i="10" s="1"/>
  <c r="L61" i="13"/>
  <c r="D61" i="13" s="1"/>
  <c r="L57" i="9"/>
  <c r="D65" i="9"/>
  <c r="K63" i="10"/>
  <c r="L10" i="9"/>
  <c r="L51" i="11"/>
  <c r="D51" i="11" s="1"/>
  <c r="L21" i="13"/>
  <c r="D21" i="13" s="1"/>
  <c r="L15" i="14"/>
  <c r="D15" i="14" s="1"/>
  <c r="C65" i="9"/>
  <c r="C14" i="9"/>
  <c r="L54" i="9"/>
  <c r="L52" i="9" s="1"/>
  <c r="D98" i="1"/>
  <c r="C33" i="9"/>
  <c r="K35" i="9" s="1"/>
  <c r="N55" i="14"/>
  <c r="M8" i="10"/>
  <c r="N8" i="10" s="1"/>
  <c r="F8" i="10" s="1"/>
  <c r="D28" i="10"/>
  <c r="L72" i="11"/>
  <c r="M72" i="11" s="1"/>
  <c r="M34" i="1"/>
  <c r="N34" i="1" s="1"/>
  <c r="F34" i="1" s="1"/>
  <c r="C59" i="9"/>
  <c r="L33" i="9"/>
  <c r="M33" i="9" s="1"/>
  <c r="L8" i="1"/>
  <c r="C38" i="9"/>
  <c r="E28" i="10"/>
  <c r="C66" i="10"/>
  <c r="L10" i="10"/>
  <c r="M10" i="10" s="1"/>
  <c r="L45" i="11"/>
  <c r="D45" i="11" s="1"/>
  <c r="K57" i="9"/>
  <c r="K7" i="9"/>
  <c r="L75" i="13"/>
  <c r="D75" i="13" s="1"/>
  <c r="L22" i="14"/>
  <c r="D22" i="14" s="1"/>
  <c r="K62" i="9"/>
  <c r="K52" i="10"/>
  <c r="L8" i="11"/>
  <c r="M8" i="11" s="1"/>
  <c r="M14" i="9"/>
  <c r="N14" i="9" s="1"/>
  <c r="F14" i="9" s="1"/>
  <c r="M27" i="9"/>
  <c r="L32" i="10"/>
  <c r="D32" i="10" s="1"/>
  <c r="L54" i="13"/>
  <c r="C55" i="9"/>
  <c r="K53" i="10"/>
  <c r="C64" i="14"/>
  <c r="M55" i="10"/>
  <c r="E55" i="10" s="1"/>
  <c r="K62" i="1"/>
  <c r="C61" i="16"/>
  <c r="L45" i="9"/>
  <c r="M45" i="9" s="1"/>
  <c r="K63" i="9"/>
  <c r="L66" i="9"/>
  <c r="B185" i="1"/>
  <c r="B187" i="1" s="1"/>
  <c r="G54" i="16"/>
  <c r="B122" i="16"/>
  <c r="K52" i="14"/>
  <c r="K25" i="10"/>
  <c r="C80" i="11"/>
  <c r="K57" i="10"/>
  <c r="B116" i="14"/>
  <c r="B123" i="14"/>
  <c r="B126" i="14" s="1"/>
  <c r="B127" i="14" s="1"/>
  <c r="B156" i="1" s="1"/>
  <c r="J156" i="1" s="1"/>
  <c r="B174" i="1" s="1"/>
  <c r="L42" i="1"/>
  <c r="C120" i="1"/>
  <c r="B153" i="1"/>
  <c r="B123" i="13"/>
  <c r="B126" i="13" s="1"/>
  <c r="B127" i="13" s="1"/>
  <c r="B154" i="1" s="1"/>
  <c r="B123" i="11"/>
  <c r="B126" i="11" s="1"/>
  <c r="B127" i="11" s="1"/>
  <c r="B152" i="1" s="1"/>
  <c r="K12" i="1"/>
  <c r="K58" i="10"/>
  <c r="K57" i="14"/>
  <c r="K53" i="14"/>
  <c r="K17" i="1"/>
  <c r="K52" i="11"/>
  <c r="K23" i="11"/>
  <c r="L97" i="1"/>
  <c r="K52" i="9"/>
  <c r="K53" i="9"/>
  <c r="K53" i="11"/>
  <c r="L58" i="10"/>
  <c r="K19" i="10"/>
  <c r="K57" i="11"/>
  <c r="K105" i="1"/>
  <c r="K58" i="14"/>
  <c r="B151" i="1"/>
  <c r="B141" i="1"/>
  <c r="G140" i="1"/>
  <c r="B137" i="1"/>
  <c r="G137" i="1" s="1"/>
  <c r="L58" i="14"/>
  <c r="K62" i="14"/>
  <c r="K35" i="13"/>
  <c r="C82" i="11"/>
  <c r="B116" i="10"/>
  <c r="B149" i="1"/>
  <c r="B123" i="10"/>
  <c r="B126" i="10" s="1"/>
  <c r="B127" i="10" s="1"/>
  <c r="B150" i="1" s="1"/>
  <c r="B116" i="9"/>
  <c r="B123" i="9"/>
  <c r="B126" i="9" s="1"/>
  <c r="B127" i="9" s="1"/>
  <c r="B148" i="1" s="1"/>
  <c r="B147" i="1"/>
  <c r="C119" i="1"/>
  <c r="C118" i="1"/>
  <c r="K57" i="1"/>
  <c r="K58" i="13"/>
  <c r="D21" i="14"/>
  <c r="M21" i="14"/>
  <c r="N21" i="14" s="1"/>
  <c r="F21" i="14" s="1"/>
  <c r="K11" i="11"/>
  <c r="L26" i="13"/>
  <c r="D26" i="13" s="1"/>
  <c r="L45" i="14"/>
  <c r="D45" i="14" s="1"/>
  <c r="C82" i="14"/>
  <c r="L34" i="10"/>
  <c r="M34" i="10" s="1"/>
  <c r="L69" i="10"/>
  <c r="C69" i="10"/>
  <c r="D15" i="10"/>
  <c r="L16" i="10"/>
  <c r="L13" i="10" s="1"/>
  <c r="C16" i="10"/>
  <c r="K29" i="13"/>
  <c r="M66" i="13"/>
  <c r="L72" i="10"/>
  <c r="C72" i="10"/>
  <c r="C80" i="14"/>
  <c r="L9" i="11"/>
  <c r="D9" i="11" s="1"/>
  <c r="K41" i="13"/>
  <c r="K17" i="14"/>
  <c r="L72" i="14"/>
  <c r="D72" i="14" s="1"/>
  <c r="L69" i="14"/>
  <c r="E60" i="14"/>
  <c r="N60" i="14"/>
  <c r="L22" i="10"/>
  <c r="C22" i="10"/>
  <c r="D55" i="14"/>
  <c r="L27" i="10"/>
  <c r="C27" i="10"/>
  <c r="L66" i="11"/>
  <c r="M66" i="11" s="1"/>
  <c r="C144" i="1"/>
  <c r="L63" i="10"/>
  <c r="K7" i="10"/>
  <c r="L9" i="10"/>
  <c r="C9" i="10"/>
  <c r="L39" i="10"/>
  <c r="C39" i="10"/>
  <c r="C51" i="10"/>
  <c r="L51" i="10"/>
  <c r="L48" i="10"/>
  <c r="C48" i="10"/>
  <c r="M19" i="1"/>
  <c r="D19" i="1"/>
  <c r="K57" i="13"/>
  <c r="K89" i="1"/>
  <c r="K62" i="13"/>
  <c r="L26" i="11"/>
  <c r="M26" i="11" s="1"/>
  <c r="L22" i="11"/>
  <c r="L10" i="11"/>
  <c r="D10" i="11" s="1"/>
  <c r="L34" i="11"/>
  <c r="M34" i="11" s="1"/>
  <c r="L9" i="13"/>
  <c r="M9" i="13" s="1"/>
  <c r="L90" i="1"/>
  <c r="L26" i="14"/>
  <c r="D26" i="14" s="1"/>
  <c r="C27" i="14"/>
  <c r="M93" i="1"/>
  <c r="M90" i="1" s="1"/>
  <c r="G54" i="1"/>
  <c r="C33" i="10"/>
  <c r="K35" i="10" s="1"/>
  <c r="L33" i="10"/>
  <c r="L21" i="10"/>
  <c r="C21" i="10"/>
  <c r="L65" i="13"/>
  <c r="L60" i="13"/>
  <c r="L57" i="13" s="1"/>
  <c r="K31" i="10"/>
  <c r="M35" i="1"/>
  <c r="N35" i="1" s="1"/>
  <c r="F35" i="1" s="1"/>
  <c r="D35" i="1"/>
  <c r="L37" i="1" s="1"/>
  <c r="C45" i="10"/>
  <c r="L45" i="10"/>
  <c r="L39" i="13"/>
  <c r="C60" i="13"/>
  <c r="L69" i="11"/>
  <c r="L39" i="11"/>
  <c r="D39" i="11" s="1"/>
  <c r="L72" i="13"/>
  <c r="D72" i="13" s="1"/>
  <c r="L32" i="13"/>
  <c r="M32" i="13" s="1"/>
  <c r="L48" i="14"/>
  <c r="D48" i="14" s="1"/>
  <c r="L8" i="14"/>
  <c r="D8" i="14" s="1"/>
  <c r="L14" i="14"/>
  <c r="D14" i="14" s="1"/>
  <c r="L38" i="14"/>
  <c r="D38" i="14" s="1"/>
  <c r="L20" i="14"/>
  <c r="M20" i="14" s="1"/>
  <c r="L91" i="1"/>
  <c r="L26" i="10"/>
  <c r="C26" i="10"/>
  <c r="L14" i="10"/>
  <c r="L38" i="10"/>
  <c r="C38" i="10"/>
  <c r="L20" i="10"/>
  <c r="C20" i="10"/>
  <c r="D11" i="1"/>
  <c r="M11" i="1"/>
  <c r="N11" i="1" s="1"/>
  <c r="F11" i="1" s="1"/>
  <c r="M51" i="1"/>
  <c r="N51" i="1" s="1"/>
  <c r="D51" i="1"/>
  <c r="D25" i="1"/>
  <c r="M25" i="1"/>
  <c r="N10" i="1"/>
  <c r="E10" i="1"/>
  <c r="M60" i="9"/>
  <c r="N60" i="9" s="1"/>
  <c r="F60" i="9" s="1"/>
  <c r="D60" i="9"/>
  <c r="K101" i="1"/>
  <c r="M38" i="9"/>
  <c r="D38" i="9"/>
  <c r="C14" i="11"/>
  <c r="L14" i="11"/>
  <c r="C69" i="13"/>
  <c r="L69" i="13"/>
  <c r="M20" i="1"/>
  <c r="D20" i="1"/>
  <c r="L18" i="1"/>
  <c r="M87" i="1"/>
  <c r="D87" i="1"/>
  <c r="L84" i="1"/>
  <c r="E9" i="1"/>
  <c r="L48" i="11"/>
  <c r="M38" i="11"/>
  <c r="L28" i="11"/>
  <c r="D10" i="13"/>
  <c r="M10" i="13"/>
  <c r="D27" i="14"/>
  <c r="M27" i="14"/>
  <c r="D49" i="1"/>
  <c r="M49" i="1"/>
  <c r="D104" i="1"/>
  <c r="M104" i="1"/>
  <c r="M103" i="1" s="1"/>
  <c r="D59" i="13"/>
  <c r="M59" i="13"/>
  <c r="C33" i="11"/>
  <c r="L33" i="11"/>
  <c r="C15" i="11"/>
  <c r="L15" i="11"/>
  <c r="L65" i="11"/>
  <c r="C65" i="11"/>
  <c r="K13" i="13"/>
  <c r="C15" i="13"/>
  <c r="L15" i="13"/>
  <c r="C22" i="13"/>
  <c r="L22" i="13"/>
  <c r="C16" i="13"/>
  <c r="L16" i="13"/>
  <c r="D39" i="14"/>
  <c r="M39" i="14"/>
  <c r="C32" i="14"/>
  <c r="L32" i="14"/>
  <c r="D33" i="14"/>
  <c r="M33" i="14"/>
  <c r="M40" i="10"/>
  <c r="D40" i="10"/>
  <c r="C117" i="1"/>
  <c r="K32" i="1"/>
  <c r="C114" i="1"/>
  <c r="E98" i="1"/>
  <c r="N98" i="1"/>
  <c r="D56" i="13"/>
  <c r="M56" i="13"/>
  <c r="C16" i="11"/>
  <c r="L16" i="11"/>
  <c r="C48" i="13"/>
  <c r="L48" i="13"/>
  <c r="C8" i="13"/>
  <c r="L8" i="13"/>
  <c r="K31" i="14"/>
  <c r="C33" i="14"/>
  <c r="C28" i="14"/>
  <c r="L28" i="14"/>
  <c r="L25" i="14" s="1"/>
  <c r="D9" i="14"/>
  <c r="M9" i="14"/>
  <c r="L85" i="1"/>
  <c r="M88" i="1"/>
  <c r="D88" i="1"/>
  <c r="F36" i="1"/>
  <c r="G36" i="1" s="1"/>
  <c r="C54" i="14"/>
  <c r="L54" i="14"/>
  <c r="F55" i="14"/>
  <c r="C38" i="11"/>
  <c r="L28" i="13"/>
  <c r="K7" i="13"/>
  <c r="C10" i="13"/>
  <c r="L34" i="13"/>
  <c r="L14" i="13"/>
  <c r="L34" i="14"/>
  <c r="L75" i="14"/>
  <c r="L77" i="1"/>
  <c r="M78" i="1"/>
  <c r="E78" i="1" s="1"/>
  <c r="K47" i="1"/>
  <c r="E8" i="9"/>
  <c r="N8" i="9"/>
  <c r="F8" i="9" s="1"/>
  <c r="N86" i="1"/>
  <c r="F86" i="1" s="1"/>
  <c r="E86" i="1"/>
  <c r="E29" i="1"/>
  <c r="N29" i="1"/>
  <c r="F29" i="1" s="1"/>
  <c r="D16" i="9"/>
  <c r="M16" i="9"/>
  <c r="K25" i="11"/>
  <c r="C27" i="11"/>
  <c r="L32" i="11"/>
  <c r="L27" i="11"/>
  <c r="L64" i="11"/>
  <c r="C64" i="11"/>
  <c r="L33" i="13"/>
  <c r="L38" i="13"/>
  <c r="K7" i="14"/>
  <c r="C9" i="14"/>
  <c r="K37" i="14"/>
  <c r="C39" i="14"/>
  <c r="D66" i="1"/>
  <c r="M66" i="1"/>
  <c r="M66" i="16" s="1"/>
  <c r="N15" i="10"/>
  <c r="E15" i="10"/>
  <c r="M55" i="1"/>
  <c r="M55" i="16" s="1"/>
  <c r="D55" i="1"/>
  <c r="D55" i="16" s="1"/>
  <c r="M16" i="1"/>
  <c r="D16" i="1"/>
  <c r="L28" i="1"/>
  <c r="D31" i="1"/>
  <c r="M31" i="1"/>
  <c r="M28" i="1" s="1"/>
  <c r="F94" i="1"/>
  <c r="L73" i="1"/>
  <c r="E74" i="1"/>
  <c r="L69" i="1"/>
  <c r="M70" i="1"/>
  <c r="E70" i="1" s="1"/>
  <c r="L43" i="1"/>
  <c r="M45" i="1"/>
  <c r="D45" i="1"/>
  <c r="N39" i="1"/>
  <c r="F39" i="1" s="1"/>
  <c r="E39" i="1"/>
  <c r="N26" i="1"/>
  <c r="E26" i="1"/>
  <c r="N75" i="10"/>
  <c r="F75" i="10" s="1"/>
  <c r="N46" i="1"/>
  <c r="E46" i="1"/>
  <c r="N44" i="1"/>
  <c r="F44" i="1" s="1"/>
  <c r="E44" i="1"/>
  <c r="E112" i="1"/>
  <c r="N112" i="1"/>
  <c r="D64" i="14"/>
  <c r="M64" i="14"/>
  <c r="E59" i="9"/>
  <c r="N59" i="9"/>
  <c r="E55" i="13"/>
  <c r="N55" i="13"/>
  <c r="E59" i="11"/>
  <c r="N59" i="11"/>
  <c r="K63" i="13"/>
  <c r="C66" i="13"/>
  <c r="L27" i="13"/>
  <c r="L51" i="13"/>
  <c r="L45" i="13"/>
  <c r="K19" i="14"/>
  <c r="C21" i="14"/>
  <c r="L10" i="14"/>
  <c r="L7" i="14" s="1"/>
  <c r="L16" i="14"/>
  <c r="D99" i="1"/>
  <c r="M99" i="1"/>
  <c r="L96" i="1"/>
  <c r="L58" i="1"/>
  <c r="D60" i="1"/>
  <c r="D60" i="16" s="1"/>
  <c r="M60" i="1"/>
  <c r="M60" i="16" s="1"/>
  <c r="N30" i="1"/>
  <c r="E30" i="1"/>
  <c r="E15" i="1"/>
  <c r="N15" i="1"/>
  <c r="N20" i="9"/>
  <c r="F20" i="9" s="1"/>
  <c r="E20" i="9"/>
  <c r="M32" i="9"/>
  <c r="D32" i="9"/>
  <c r="F40" i="1"/>
  <c r="K7" i="11"/>
  <c r="K31" i="11"/>
  <c r="K31" i="13"/>
  <c r="K13" i="14"/>
  <c r="K37" i="11"/>
  <c r="K13" i="11"/>
  <c r="K63" i="11"/>
  <c r="K62" i="11"/>
  <c r="K25" i="13"/>
  <c r="K25" i="14"/>
  <c r="K19" i="11"/>
  <c r="K19" i="13"/>
  <c r="K37" i="13"/>
  <c r="N54" i="10" l="1"/>
  <c r="E61" i="1"/>
  <c r="E61" i="16" s="1"/>
  <c r="M26" i="9"/>
  <c r="N26" i="9" s="1"/>
  <c r="F26" i="9" s="1"/>
  <c r="D75" i="10"/>
  <c r="C168" i="1"/>
  <c r="D20" i="11"/>
  <c r="K57" i="16"/>
  <c r="N56" i="1"/>
  <c r="N56" i="16" s="1"/>
  <c r="N82" i="1"/>
  <c r="F82" i="1" s="1"/>
  <c r="N83" i="1" s="1"/>
  <c r="E82" i="1"/>
  <c r="M83" i="1" s="1"/>
  <c r="E56" i="1"/>
  <c r="E56" i="16" s="1"/>
  <c r="G94" i="1"/>
  <c r="M40" i="14"/>
  <c r="M38" i="14"/>
  <c r="E38" i="14" s="1"/>
  <c r="D59" i="10"/>
  <c r="N38" i="1"/>
  <c r="P39" i="1" s="1"/>
  <c r="E65" i="14"/>
  <c r="N64" i="9"/>
  <c r="F64" i="9" s="1"/>
  <c r="G64" i="9" s="1"/>
  <c r="N61" i="1"/>
  <c r="F61" i="1" s="1"/>
  <c r="M59" i="10"/>
  <c r="N59" i="10" s="1"/>
  <c r="E61" i="9"/>
  <c r="M62" i="9"/>
  <c r="D28" i="9"/>
  <c r="L29" i="9" s="1"/>
  <c r="M28" i="9"/>
  <c r="E54" i="11"/>
  <c r="G54" i="11" s="1"/>
  <c r="E64" i="1"/>
  <c r="E64" i="16" s="1"/>
  <c r="M45" i="14"/>
  <c r="N45" i="14" s="1"/>
  <c r="F45" i="14" s="1"/>
  <c r="N64" i="1"/>
  <c r="N64" i="16" s="1"/>
  <c r="L95" i="1"/>
  <c r="G21" i="1"/>
  <c r="M64" i="13"/>
  <c r="N64" i="13" s="1"/>
  <c r="M22" i="9"/>
  <c r="E22" i="9" s="1"/>
  <c r="N107" i="1"/>
  <c r="F112" i="1"/>
  <c r="N113" i="1" s="1"/>
  <c r="N111" i="1"/>
  <c r="E108" i="1"/>
  <c r="M107" i="1"/>
  <c r="L47" i="1"/>
  <c r="L37" i="14"/>
  <c r="M53" i="16"/>
  <c r="G61" i="10"/>
  <c r="D45" i="9"/>
  <c r="D80" i="9" s="1"/>
  <c r="M61" i="13"/>
  <c r="E61" i="13" s="1"/>
  <c r="M21" i="9"/>
  <c r="E21" i="9" s="1"/>
  <c r="L23" i="9"/>
  <c r="L13" i="14"/>
  <c r="D82" i="9"/>
  <c r="L57" i="16"/>
  <c r="M40" i="9"/>
  <c r="N40" i="9" s="1"/>
  <c r="F40" i="9" s="1"/>
  <c r="M15" i="14"/>
  <c r="N15" i="14" s="1"/>
  <c r="M32" i="10"/>
  <c r="N32" i="10" s="1"/>
  <c r="F32" i="10" s="1"/>
  <c r="G100" i="1"/>
  <c r="E8" i="10"/>
  <c r="G8" i="10" s="1"/>
  <c r="M22" i="14"/>
  <c r="M19" i="14" s="1"/>
  <c r="M48" i="9"/>
  <c r="N48" i="9" s="1"/>
  <c r="F48" i="9" s="1"/>
  <c r="K17" i="9"/>
  <c r="K11" i="9"/>
  <c r="M53" i="9"/>
  <c r="D66" i="11"/>
  <c r="M34" i="9"/>
  <c r="E34" i="9" s="1"/>
  <c r="M81" i="1"/>
  <c r="E55" i="9"/>
  <c r="G55" i="9" s="1"/>
  <c r="L37" i="9"/>
  <c r="K67" i="16"/>
  <c r="M58" i="16"/>
  <c r="D39" i="9"/>
  <c r="L41" i="9" s="1"/>
  <c r="M40" i="11"/>
  <c r="E40" i="11" s="1"/>
  <c r="M39" i="9"/>
  <c r="L19" i="9"/>
  <c r="K11" i="10"/>
  <c r="E34" i="1"/>
  <c r="G34" i="1" s="1"/>
  <c r="L12" i="1"/>
  <c r="G41" i="1"/>
  <c r="L37" i="11"/>
  <c r="M39" i="11"/>
  <c r="M55" i="11"/>
  <c r="M53" i="11" s="1"/>
  <c r="K41" i="9"/>
  <c r="N59" i="1"/>
  <c r="M59" i="16"/>
  <c r="E59" i="16" s="1"/>
  <c r="F56" i="1"/>
  <c r="C110" i="16"/>
  <c r="C184" i="1" s="1"/>
  <c r="D59" i="16"/>
  <c r="N24" i="1"/>
  <c r="F24" i="1" s="1"/>
  <c r="G24" i="1" s="1"/>
  <c r="N65" i="1"/>
  <c r="M65" i="16"/>
  <c r="M63" i="16" s="1"/>
  <c r="N93" i="1"/>
  <c r="F93" i="1" s="1"/>
  <c r="N95" i="1" s="1"/>
  <c r="L53" i="14"/>
  <c r="M57" i="14"/>
  <c r="L57" i="14"/>
  <c r="D9" i="13"/>
  <c r="E61" i="11"/>
  <c r="G61" i="11" s="1"/>
  <c r="N59" i="14"/>
  <c r="N57" i="14" s="1"/>
  <c r="D59" i="14"/>
  <c r="D103" i="9"/>
  <c r="D120" i="9" s="1"/>
  <c r="E26" i="9"/>
  <c r="G26" i="9" s="1"/>
  <c r="M75" i="11"/>
  <c r="E75" i="11" s="1"/>
  <c r="E14" i="9"/>
  <c r="G14" i="9" s="1"/>
  <c r="M60" i="11"/>
  <c r="M57" i="11" s="1"/>
  <c r="D60" i="11"/>
  <c r="M42" i="1"/>
  <c r="D26" i="11"/>
  <c r="L57" i="11"/>
  <c r="M66" i="14"/>
  <c r="M63" i="14" s="1"/>
  <c r="D103" i="10"/>
  <c r="D114" i="10" s="1"/>
  <c r="D66" i="14"/>
  <c r="D20" i="14"/>
  <c r="L23" i="14" s="1"/>
  <c r="L53" i="11"/>
  <c r="D55" i="11"/>
  <c r="D32" i="13"/>
  <c r="E93" i="1"/>
  <c r="M95" i="1" s="1"/>
  <c r="E51" i="9"/>
  <c r="N51" i="9"/>
  <c r="F51" i="9" s="1"/>
  <c r="G9" i="9"/>
  <c r="M40" i="13"/>
  <c r="E40" i="13" s="1"/>
  <c r="D56" i="14"/>
  <c r="E21" i="11"/>
  <c r="D72" i="11"/>
  <c r="M26" i="13"/>
  <c r="N26" i="13" s="1"/>
  <c r="F26" i="13" s="1"/>
  <c r="M51" i="14"/>
  <c r="E51" i="14" s="1"/>
  <c r="D8" i="11"/>
  <c r="L11" i="11" s="1"/>
  <c r="D10" i="10"/>
  <c r="L37" i="13"/>
  <c r="C82" i="9"/>
  <c r="G75" i="9"/>
  <c r="M45" i="11"/>
  <c r="E45" i="11" s="1"/>
  <c r="M15" i="9"/>
  <c r="E15" i="9" s="1"/>
  <c r="L19" i="11"/>
  <c r="G66" i="10"/>
  <c r="M51" i="11"/>
  <c r="E51" i="11" s="1"/>
  <c r="D15" i="9"/>
  <c r="L17" i="9" s="1"/>
  <c r="D34" i="10"/>
  <c r="M48" i="14"/>
  <c r="E48" i="14" s="1"/>
  <c r="D21" i="11"/>
  <c r="C81" i="9"/>
  <c r="D34" i="11"/>
  <c r="C81" i="10"/>
  <c r="M10" i="11"/>
  <c r="N10" i="11" s="1"/>
  <c r="F10" i="11" s="1"/>
  <c r="M20" i="13"/>
  <c r="E20" i="13" s="1"/>
  <c r="K29" i="14"/>
  <c r="G28" i="10"/>
  <c r="E72" i="9"/>
  <c r="N72" i="9"/>
  <c r="F72" i="9" s="1"/>
  <c r="L13" i="13"/>
  <c r="J154" i="1"/>
  <c r="B173" i="1" s="1"/>
  <c r="C113" i="16"/>
  <c r="C120" i="16" s="1"/>
  <c r="L19" i="13"/>
  <c r="C76" i="9"/>
  <c r="L53" i="9"/>
  <c r="M8" i="14"/>
  <c r="E8" i="14" s="1"/>
  <c r="E61" i="14"/>
  <c r="N61" i="14"/>
  <c r="F61" i="14" s="1"/>
  <c r="D56" i="9"/>
  <c r="C79" i="9"/>
  <c r="E56" i="9"/>
  <c r="N56" i="9"/>
  <c r="E65" i="10"/>
  <c r="M9" i="11"/>
  <c r="N9" i="11" s="1"/>
  <c r="C103" i="9"/>
  <c r="C120" i="9" s="1"/>
  <c r="N56" i="11"/>
  <c r="F56" i="11" s="1"/>
  <c r="E56" i="11"/>
  <c r="D33" i="9"/>
  <c r="L17" i="1"/>
  <c r="M21" i="13"/>
  <c r="E21" i="13" s="1"/>
  <c r="G55" i="14"/>
  <c r="D64" i="10"/>
  <c r="M64" i="10"/>
  <c r="L31" i="9"/>
  <c r="C103" i="10"/>
  <c r="C120" i="10" s="1"/>
  <c r="N14" i="1"/>
  <c r="F14" i="1" s="1"/>
  <c r="E14" i="1"/>
  <c r="E45" i="9"/>
  <c r="N45" i="9"/>
  <c r="F45" i="9" s="1"/>
  <c r="L52" i="13"/>
  <c r="M54" i="13"/>
  <c r="D54" i="13"/>
  <c r="K62" i="16"/>
  <c r="L7" i="9"/>
  <c r="D10" i="9"/>
  <c r="L11" i="9" s="1"/>
  <c r="M10" i="9"/>
  <c r="L67" i="1"/>
  <c r="D66" i="16"/>
  <c r="E27" i="9"/>
  <c r="N27" i="9"/>
  <c r="F27" i="9" s="1"/>
  <c r="M52" i="10"/>
  <c r="M72" i="14"/>
  <c r="N72" i="14" s="1"/>
  <c r="F72" i="14" s="1"/>
  <c r="N65" i="10"/>
  <c r="F65" i="10" s="1"/>
  <c r="M75" i="13"/>
  <c r="E75" i="13" s="1"/>
  <c r="E69" i="9"/>
  <c r="N69" i="9"/>
  <c r="F69" i="9" s="1"/>
  <c r="M63" i="10"/>
  <c r="M54" i="9"/>
  <c r="M52" i="9" s="1"/>
  <c r="E21" i="14"/>
  <c r="G21" i="14" s="1"/>
  <c r="D54" i="9"/>
  <c r="N55" i="10"/>
  <c r="N52" i="10" s="1"/>
  <c r="L63" i="9"/>
  <c r="D66" i="9"/>
  <c r="M66" i="9"/>
  <c r="E65" i="9"/>
  <c r="N65" i="9"/>
  <c r="F65" i="9" s="1"/>
  <c r="L19" i="14"/>
  <c r="M56" i="10"/>
  <c r="D56" i="10"/>
  <c r="M58" i="10"/>
  <c r="E60" i="10"/>
  <c r="N60" i="10"/>
  <c r="B162" i="16"/>
  <c r="B129" i="14"/>
  <c r="L25" i="13"/>
  <c r="J152" i="1"/>
  <c r="B172" i="1" s="1"/>
  <c r="B129" i="11"/>
  <c r="B129" i="13"/>
  <c r="L22" i="1"/>
  <c r="C124" i="1"/>
  <c r="C126" i="1" s="1"/>
  <c r="C103" i="14"/>
  <c r="C114" i="14" s="1"/>
  <c r="L31" i="11"/>
  <c r="C103" i="11"/>
  <c r="C114" i="11" s="1"/>
  <c r="L25" i="11"/>
  <c r="N33" i="1"/>
  <c r="M91" i="1"/>
  <c r="L7" i="11"/>
  <c r="B169" i="1"/>
  <c r="G169" i="1" s="1"/>
  <c r="G141" i="1"/>
  <c r="L63" i="11"/>
  <c r="B129" i="10"/>
  <c r="J150" i="1"/>
  <c r="B171" i="1" s="1"/>
  <c r="J148" i="1"/>
  <c r="B170" i="1" s="1"/>
  <c r="B157" i="1"/>
  <c r="B129" i="9"/>
  <c r="G39" i="1"/>
  <c r="M57" i="9"/>
  <c r="E66" i="13"/>
  <c r="N66" i="13"/>
  <c r="F66" i="13" s="1"/>
  <c r="M69" i="10"/>
  <c r="D69" i="10"/>
  <c r="D69" i="14"/>
  <c r="M69" i="14"/>
  <c r="M72" i="10"/>
  <c r="D72" i="10"/>
  <c r="C103" i="13"/>
  <c r="M22" i="10"/>
  <c r="D22" i="10"/>
  <c r="K17" i="10"/>
  <c r="L41" i="14"/>
  <c r="N8" i="1"/>
  <c r="F10" i="1"/>
  <c r="G10" i="1" s="1"/>
  <c r="N48" i="1"/>
  <c r="F51" i="1"/>
  <c r="E19" i="1"/>
  <c r="N19" i="1"/>
  <c r="F19" i="1" s="1"/>
  <c r="D27" i="10"/>
  <c r="L25" i="10"/>
  <c r="M27" i="10"/>
  <c r="F60" i="14"/>
  <c r="G60" i="14" s="1"/>
  <c r="C82" i="10"/>
  <c r="M16" i="10"/>
  <c r="D16" i="10"/>
  <c r="N25" i="1"/>
  <c r="F25" i="1" s="1"/>
  <c r="M23" i="1"/>
  <c r="E25" i="1"/>
  <c r="M27" i="1" s="1"/>
  <c r="M8" i="1"/>
  <c r="E11" i="1"/>
  <c r="M12" i="1" s="1"/>
  <c r="C79" i="10"/>
  <c r="M48" i="10"/>
  <c r="D48" i="10"/>
  <c r="M39" i="10"/>
  <c r="D39" i="10"/>
  <c r="L37" i="10"/>
  <c r="L7" i="13"/>
  <c r="D144" i="1"/>
  <c r="M72" i="13"/>
  <c r="E72" i="13" s="1"/>
  <c r="E60" i="9"/>
  <c r="G60" i="9" s="1"/>
  <c r="M58" i="9"/>
  <c r="L27" i="1"/>
  <c r="M38" i="10"/>
  <c r="D38" i="10"/>
  <c r="M33" i="1"/>
  <c r="E35" i="1"/>
  <c r="G35" i="1" s="1"/>
  <c r="M51" i="10"/>
  <c r="D51" i="10"/>
  <c r="N10" i="10"/>
  <c r="E10" i="10"/>
  <c r="M26" i="14"/>
  <c r="E26" i="14" s="1"/>
  <c r="M14" i="14"/>
  <c r="E14" i="14" s="1"/>
  <c r="C76" i="13"/>
  <c r="N38" i="9"/>
  <c r="F38" i="9" s="1"/>
  <c r="E38" i="9"/>
  <c r="K23" i="10"/>
  <c r="D14" i="10"/>
  <c r="M14" i="10"/>
  <c r="M45" i="10"/>
  <c r="D45" i="10"/>
  <c r="M21" i="10"/>
  <c r="N21" i="10" s="1"/>
  <c r="D21" i="10"/>
  <c r="L19" i="10"/>
  <c r="N34" i="10"/>
  <c r="F34" i="10" s="1"/>
  <c r="E34" i="10"/>
  <c r="L7" i="10"/>
  <c r="D9" i="10"/>
  <c r="M9" i="10"/>
  <c r="N9" i="10" s="1"/>
  <c r="F9" i="10" s="1"/>
  <c r="K41" i="10"/>
  <c r="M26" i="10"/>
  <c r="D26" i="10"/>
  <c r="D65" i="13"/>
  <c r="M65" i="13"/>
  <c r="N65" i="13" s="1"/>
  <c r="L63" i="13"/>
  <c r="L62" i="13"/>
  <c r="E51" i="1"/>
  <c r="M48" i="1"/>
  <c r="M20" i="10"/>
  <c r="D20" i="10"/>
  <c r="K29" i="10"/>
  <c r="D69" i="11"/>
  <c r="M69" i="11"/>
  <c r="D39" i="13"/>
  <c r="M39" i="13"/>
  <c r="N39" i="13" s="1"/>
  <c r="F39" i="13" s="1"/>
  <c r="C80" i="10"/>
  <c r="M60" i="13"/>
  <c r="L58" i="13"/>
  <c r="D60" i="13"/>
  <c r="D33" i="10"/>
  <c r="M33" i="10"/>
  <c r="N33" i="10" s="1"/>
  <c r="F33" i="10" s="1"/>
  <c r="L31" i="10"/>
  <c r="D22" i="11"/>
  <c r="M22" i="11"/>
  <c r="C76" i="10"/>
  <c r="N32" i="9"/>
  <c r="F32" i="9" s="1"/>
  <c r="E32" i="9"/>
  <c r="F54" i="10"/>
  <c r="G54" i="10" s="1"/>
  <c r="L75" i="1"/>
  <c r="M77" i="1"/>
  <c r="N78" i="1"/>
  <c r="F78" i="1" s="1"/>
  <c r="M79" i="1"/>
  <c r="L41" i="11"/>
  <c r="K35" i="14"/>
  <c r="E34" i="11"/>
  <c r="N34" i="11"/>
  <c r="E66" i="11"/>
  <c r="N66" i="11"/>
  <c r="F66" i="11" s="1"/>
  <c r="E27" i="14"/>
  <c r="N27" i="14"/>
  <c r="N42" i="1"/>
  <c r="G40" i="1"/>
  <c r="N33" i="9"/>
  <c r="E33" i="9"/>
  <c r="F30" i="1"/>
  <c r="G92" i="1"/>
  <c r="E40" i="14"/>
  <c r="N40" i="14"/>
  <c r="F40" i="14" s="1"/>
  <c r="K23" i="14"/>
  <c r="D45" i="13"/>
  <c r="M45" i="13"/>
  <c r="F55" i="13"/>
  <c r="G55" i="13" s="1"/>
  <c r="G75" i="10"/>
  <c r="M69" i="1"/>
  <c r="N70" i="1"/>
  <c r="F70" i="1" s="1"/>
  <c r="M73" i="1"/>
  <c r="F74" i="1"/>
  <c r="M75" i="1"/>
  <c r="L32" i="1"/>
  <c r="K41" i="14"/>
  <c r="C76" i="14"/>
  <c r="K11" i="14"/>
  <c r="D27" i="11"/>
  <c r="M27" i="11"/>
  <c r="G86" i="1"/>
  <c r="L31" i="14"/>
  <c r="D34" i="14"/>
  <c r="M34" i="14"/>
  <c r="K41" i="11"/>
  <c r="E9" i="14"/>
  <c r="N9" i="14"/>
  <c r="C79" i="13"/>
  <c r="K11" i="13"/>
  <c r="E20" i="11"/>
  <c r="N20" i="11"/>
  <c r="F20" i="11" s="1"/>
  <c r="E8" i="11"/>
  <c r="N8" i="11"/>
  <c r="F8" i="11" s="1"/>
  <c r="E56" i="13"/>
  <c r="N56" i="13"/>
  <c r="F56" i="13" s="1"/>
  <c r="M53" i="13"/>
  <c r="C79" i="14"/>
  <c r="E33" i="14"/>
  <c r="N33" i="14"/>
  <c r="D16" i="13"/>
  <c r="M16" i="13"/>
  <c r="D15" i="13"/>
  <c r="M15" i="13"/>
  <c r="E59" i="13"/>
  <c r="N59" i="13"/>
  <c r="L52" i="1"/>
  <c r="N10" i="13"/>
  <c r="F10" i="13" s="1"/>
  <c r="E10" i="13"/>
  <c r="N37" i="1"/>
  <c r="E87" i="1"/>
  <c r="N87" i="1"/>
  <c r="M84" i="1"/>
  <c r="M85" i="1"/>
  <c r="D14" i="11"/>
  <c r="M14" i="11"/>
  <c r="F15" i="1"/>
  <c r="L62" i="1"/>
  <c r="F59" i="9"/>
  <c r="G59" i="9" s="1"/>
  <c r="N57" i="9"/>
  <c r="D114" i="1"/>
  <c r="N22" i="9"/>
  <c r="E16" i="1"/>
  <c r="N16" i="1"/>
  <c r="F16" i="1" s="1"/>
  <c r="L31" i="13"/>
  <c r="D33" i="13"/>
  <c r="M33" i="13"/>
  <c r="G29" i="1"/>
  <c r="E49" i="1"/>
  <c r="N49" i="1"/>
  <c r="F49" i="1" s="1"/>
  <c r="L89" i="1"/>
  <c r="D119" i="1"/>
  <c r="G20" i="9"/>
  <c r="M13" i="1"/>
  <c r="M96" i="1"/>
  <c r="N99" i="1"/>
  <c r="N96" i="1" s="1"/>
  <c r="E99" i="1"/>
  <c r="M101" i="1" s="1"/>
  <c r="M97" i="1"/>
  <c r="D16" i="14"/>
  <c r="M16" i="14"/>
  <c r="D51" i="13"/>
  <c r="M51" i="13"/>
  <c r="E56" i="14"/>
  <c r="N56" i="14"/>
  <c r="M53" i="14"/>
  <c r="G44" i="1"/>
  <c r="F26" i="1"/>
  <c r="M43" i="1"/>
  <c r="E45" i="1"/>
  <c r="M47" i="1" s="1"/>
  <c r="N45" i="1"/>
  <c r="F45" i="1" s="1"/>
  <c r="L57" i="1"/>
  <c r="F15" i="10"/>
  <c r="D38" i="13"/>
  <c r="M38" i="13"/>
  <c r="L62" i="11"/>
  <c r="D64" i="11"/>
  <c r="M64" i="11"/>
  <c r="D32" i="11"/>
  <c r="M32" i="11"/>
  <c r="N16" i="9"/>
  <c r="F16" i="9" s="1"/>
  <c r="E16" i="9"/>
  <c r="D14" i="13"/>
  <c r="M14" i="13"/>
  <c r="D48" i="13"/>
  <c r="M48" i="13"/>
  <c r="D117" i="1"/>
  <c r="D22" i="13"/>
  <c r="L23" i="13" s="1"/>
  <c r="M22" i="13"/>
  <c r="K17" i="13"/>
  <c r="L13" i="11"/>
  <c r="D15" i="11"/>
  <c r="M15" i="11"/>
  <c r="D33" i="11"/>
  <c r="M33" i="11"/>
  <c r="E104" i="1"/>
  <c r="N104" i="1"/>
  <c r="C81" i="11"/>
  <c r="F65" i="14"/>
  <c r="E32" i="13"/>
  <c r="N32" i="13"/>
  <c r="F32" i="13" s="1"/>
  <c r="D69" i="13"/>
  <c r="D82" i="13" s="1"/>
  <c r="M69" i="13"/>
  <c r="C76" i="11"/>
  <c r="K17" i="11"/>
  <c r="F46" i="1"/>
  <c r="G46" i="1" s="1"/>
  <c r="L71" i="1"/>
  <c r="D118" i="1"/>
  <c r="E31" i="1"/>
  <c r="N31" i="1"/>
  <c r="F31" i="1" s="1"/>
  <c r="G8" i="9"/>
  <c r="D34" i="13"/>
  <c r="M34" i="13"/>
  <c r="C81" i="14"/>
  <c r="N88" i="1"/>
  <c r="F88" i="1" s="1"/>
  <c r="E88" i="1"/>
  <c r="D8" i="13"/>
  <c r="M8" i="13"/>
  <c r="F98" i="1"/>
  <c r="G98" i="1" s="1"/>
  <c r="D48" i="11"/>
  <c r="M48" i="11"/>
  <c r="M18" i="1"/>
  <c r="E20" i="1"/>
  <c r="N20" i="1"/>
  <c r="C81" i="13"/>
  <c r="F61" i="9"/>
  <c r="N58" i="9"/>
  <c r="M58" i="1"/>
  <c r="N60" i="1"/>
  <c r="N60" i="16" s="1"/>
  <c r="E60" i="1"/>
  <c r="L101" i="1"/>
  <c r="D10" i="14"/>
  <c r="L11" i="14" s="1"/>
  <c r="M10" i="14"/>
  <c r="D27" i="13"/>
  <c r="M27" i="13"/>
  <c r="F59" i="11"/>
  <c r="G59" i="11" s="1"/>
  <c r="E64" i="14"/>
  <c r="M62" i="14"/>
  <c r="N64" i="14"/>
  <c r="M113" i="1"/>
  <c r="N55" i="1"/>
  <c r="N55" i="16" s="1"/>
  <c r="E55" i="1"/>
  <c r="M53" i="1"/>
  <c r="M63" i="1"/>
  <c r="N66" i="1"/>
  <c r="N66" i="16" s="1"/>
  <c r="E66" i="1"/>
  <c r="K29" i="11"/>
  <c r="L79" i="1"/>
  <c r="D75" i="14"/>
  <c r="M75" i="14"/>
  <c r="D28" i="13"/>
  <c r="M28" i="13"/>
  <c r="M54" i="14"/>
  <c r="D54" i="14"/>
  <c r="L52" i="14"/>
  <c r="D28" i="14"/>
  <c r="M28" i="14"/>
  <c r="C80" i="13"/>
  <c r="D16" i="11"/>
  <c r="M16" i="11"/>
  <c r="E72" i="11"/>
  <c r="N72" i="11"/>
  <c r="F72" i="11" s="1"/>
  <c r="E26" i="11"/>
  <c r="N26" i="11"/>
  <c r="F26" i="11" s="1"/>
  <c r="N40" i="10"/>
  <c r="E40" i="10"/>
  <c r="D32" i="14"/>
  <c r="M32" i="14"/>
  <c r="M37" i="14"/>
  <c r="E39" i="14"/>
  <c r="N39" i="14"/>
  <c r="M7" i="13"/>
  <c r="E9" i="13"/>
  <c r="N9" i="13"/>
  <c r="K23" i="13"/>
  <c r="D65" i="11"/>
  <c r="M65" i="11"/>
  <c r="E9" i="11"/>
  <c r="K35" i="11"/>
  <c r="L105" i="1"/>
  <c r="D120" i="1"/>
  <c r="D80" i="14"/>
  <c r="D28" i="11"/>
  <c r="M28" i="11"/>
  <c r="E38" i="11"/>
  <c r="N38" i="11"/>
  <c r="F38" i="11" s="1"/>
  <c r="F9" i="1"/>
  <c r="E20" i="14"/>
  <c r="N20" i="14"/>
  <c r="F20" i="14" s="1"/>
  <c r="C82" i="13"/>
  <c r="C79" i="11"/>
  <c r="N38" i="14" l="1"/>
  <c r="F38" i="14" s="1"/>
  <c r="E40" i="9"/>
  <c r="N40" i="11"/>
  <c r="F40" i="11" s="1"/>
  <c r="N34" i="9"/>
  <c r="F34" i="9" s="1"/>
  <c r="N21" i="9"/>
  <c r="F21" i="9" s="1"/>
  <c r="D168" i="1"/>
  <c r="B159" i="1"/>
  <c r="B166" i="1" s="1"/>
  <c r="F64" i="1"/>
  <c r="G64" i="1" s="1"/>
  <c r="N81" i="1"/>
  <c r="P82" i="1" s="1"/>
  <c r="E45" i="14"/>
  <c r="G45" i="14" s="1"/>
  <c r="G56" i="1"/>
  <c r="N61" i="16"/>
  <c r="M37" i="11"/>
  <c r="M57" i="10"/>
  <c r="G65" i="14"/>
  <c r="N75" i="11"/>
  <c r="F75" i="11" s="1"/>
  <c r="G75" i="11" s="1"/>
  <c r="E59" i="10"/>
  <c r="E64" i="13"/>
  <c r="Q41" i="1"/>
  <c r="Q39" i="1"/>
  <c r="A39" i="1" s="1"/>
  <c r="E48" i="9"/>
  <c r="G48" i="9" s="1"/>
  <c r="N61" i="13"/>
  <c r="F61" i="13" s="1"/>
  <c r="G61" i="13" s="1"/>
  <c r="N39" i="11"/>
  <c r="N37" i="11" s="1"/>
  <c r="G61" i="9"/>
  <c r="E32" i="10"/>
  <c r="G32" i="10" s="1"/>
  <c r="N91" i="1"/>
  <c r="P92" i="1" s="1"/>
  <c r="D81" i="10"/>
  <c r="E39" i="11"/>
  <c r="M41" i="11" s="1"/>
  <c r="Q40" i="1"/>
  <c r="A40" i="1" s="1"/>
  <c r="N28" i="9"/>
  <c r="F28" i="9" s="1"/>
  <c r="N29" i="9" s="1"/>
  <c r="E28" i="9"/>
  <c r="M29" i="9" s="1"/>
  <c r="D103" i="14"/>
  <c r="D120" i="14" s="1"/>
  <c r="M25" i="9"/>
  <c r="E22" i="14"/>
  <c r="M23" i="14" s="1"/>
  <c r="E15" i="14"/>
  <c r="N51" i="14"/>
  <c r="F51" i="14" s="1"/>
  <c r="G51" i="14" s="1"/>
  <c r="G112" i="1"/>
  <c r="N22" i="14"/>
  <c r="F22" i="14" s="1"/>
  <c r="D120" i="10"/>
  <c r="D114" i="9"/>
  <c r="F104" i="1"/>
  <c r="G104" i="1" s="1"/>
  <c r="N103" i="1"/>
  <c r="C120" i="14"/>
  <c r="M109" i="1"/>
  <c r="G108" i="1"/>
  <c r="M31" i="9"/>
  <c r="G21" i="11"/>
  <c r="C120" i="11"/>
  <c r="G21" i="9"/>
  <c r="M19" i="9"/>
  <c r="N58" i="14"/>
  <c r="Q61" i="14" s="1"/>
  <c r="G34" i="9"/>
  <c r="M23" i="9"/>
  <c r="N90" i="1"/>
  <c r="M58" i="11"/>
  <c r="M37" i="9"/>
  <c r="G93" i="1"/>
  <c r="D82" i="11"/>
  <c r="G65" i="10"/>
  <c r="N53" i="16"/>
  <c r="Q56" i="16" s="1"/>
  <c r="F55" i="10"/>
  <c r="G55" i="10" s="1"/>
  <c r="G82" i="1"/>
  <c r="N39" i="9"/>
  <c r="F39" i="9" s="1"/>
  <c r="M13" i="9"/>
  <c r="E39" i="9"/>
  <c r="M41" i="9" s="1"/>
  <c r="D103" i="11"/>
  <c r="D120" i="11" s="1"/>
  <c r="N45" i="11"/>
  <c r="F45" i="11" s="1"/>
  <c r="G45" i="11" s="1"/>
  <c r="N75" i="13"/>
  <c r="F75" i="13" s="1"/>
  <c r="G75" i="13" s="1"/>
  <c r="N66" i="14"/>
  <c r="F66" i="14" s="1"/>
  <c r="C122" i="16"/>
  <c r="C162" i="16" s="1"/>
  <c r="C160" i="16" s="1"/>
  <c r="C158" i="16" s="1"/>
  <c r="E60" i="11"/>
  <c r="F59" i="14"/>
  <c r="G59" i="14" s="1"/>
  <c r="F82" i="9"/>
  <c r="E10" i="11"/>
  <c r="M11" i="11" s="1"/>
  <c r="N60" i="11"/>
  <c r="N57" i="11" s="1"/>
  <c r="N20" i="13"/>
  <c r="F20" i="13" s="1"/>
  <c r="G20" i="13" s="1"/>
  <c r="N40" i="13"/>
  <c r="F40" i="13" s="1"/>
  <c r="G40" i="13" s="1"/>
  <c r="E55" i="11"/>
  <c r="F61" i="16"/>
  <c r="G61" i="16" s="1"/>
  <c r="N55" i="11"/>
  <c r="N52" i="11" s="1"/>
  <c r="D113" i="16"/>
  <c r="D120" i="16" s="1"/>
  <c r="D185" i="1" s="1"/>
  <c r="E66" i="14"/>
  <c r="L11" i="10"/>
  <c r="L62" i="16"/>
  <c r="F56" i="16"/>
  <c r="G56" i="16" s="1"/>
  <c r="M52" i="11"/>
  <c r="F80" i="9"/>
  <c r="G61" i="1"/>
  <c r="F59" i="1"/>
  <c r="N59" i="16"/>
  <c r="E65" i="16"/>
  <c r="E26" i="13"/>
  <c r="G26" i="13" s="1"/>
  <c r="F65" i="1"/>
  <c r="N65" i="16"/>
  <c r="N63" i="16" s="1"/>
  <c r="Q65" i="16" s="1"/>
  <c r="L35" i="10"/>
  <c r="D81" i="9"/>
  <c r="G45" i="9"/>
  <c r="L23" i="11"/>
  <c r="N48" i="14"/>
  <c r="F48" i="14" s="1"/>
  <c r="G48" i="14" s="1"/>
  <c r="N8" i="14"/>
  <c r="F8" i="14" s="1"/>
  <c r="G8" i="14" s="1"/>
  <c r="N72" i="13"/>
  <c r="F72" i="13" s="1"/>
  <c r="G72" i="13" s="1"/>
  <c r="N63" i="10"/>
  <c r="Q66" i="10" s="1"/>
  <c r="N21" i="13"/>
  <c r="F21" i="13" s="1"/>
  <c r="G21" i="13" s="1"/>
  <c r="D81" i="14"/>
  <c r="D76" i="9"/>
  <c r="C114" i="9"/>
  <c r="N15" i="9"/>
  <c r="N13" i="9" s="1"/>
  <c r="C83" i="9"/>
  <c r="C85" i="9" s="1"/>
  <c r="D103" i="13"/>
  <c r="D114" i="13" s="1"/>
  <c r="G51" i="9"/>
  <c r="N26" i="14"/>
  <c r="F26" i="14" s="1"/>
  <c r="G26" i="14" s="1"/>
  <c r="N51" i="11"/>
  <c r="F51" i="11" s="1"/>
  <c r="G51" i="11" s="1"/>
  <c r="C114" i="10"/>
  <c r="M7" i="11"/>
  <c r="E72" i="14"/>
  <c r="G72" i="14" s="1"/>
  <c r="N52" i="1"/>
  <c r="G51" i="1"/>
  <c r="G56" i="11"/>
  <c r="G72" i="9"/>
  <c r="G14" i="1"/>
  <c r="D79" i="9"/>
  <c r="D110" i="16"/>
  <c r="N54" i="9"/>
  <c r="F54" i="9" s="1"/>
  <c r="E54" i="9"/>
  <c r="Q36" i="1"/>
  <c r="F56" i="9"/>
  <c r="G56" i="9" s="1"/>
  <c r="N53" i="9"/>
  <c r="Q56" i="9" s="1"/>
  <c r="L35" i="9"/>
  <c r="N14" i="14"/>
  <c r="F14" i="14" s="1"/>
  <c r="G14" i="14" s="1"/>
  <c r="G27" i="9"/>
  <c r="G65" i="9"/>
  <c r="E64" i="10"/>
  <c r="N64" i="10"/>
  <c r="N62" i="9"/>
  <c r="G61" i="14"/>
  <c r="M62" i="10"/>
  <c r="M62" i="1"/>
  <c r="E60" i="16"/>
  <c r="E56" i="10"/>
  <c r="M53" i="10"/>
  <c r="N56" i="10"/>
  <c r="F56" i="10" s="1"/>
  <c r="L67" i="16"/>
  <c r="E54" i="13"/>
  <c r="M52" i="13"/>
  <c r="N54" i="13"/>
  <c r="M67" i="1"/>
  <c r="E66" i="16"/>
  <c r="E82" i="9"/>
  <c r="G69" i="9"/>
  <c r="N10" i="9"/>
  <c r="M7" i="9"/>
  <c r="E10" i="9"/>
  <c r="F60" i="10"/>
  <c r="G60" i="10" s="1"/>
  <c r="N58" i="10"/>
  <c r="M63" i="9"/>
  <c r="N66" i="9"/>
  <c r="E66" i="9"/>
  <c r="M57" i="1"/>
  <c r="E55" i="16"/>
  <c r="C185" i="1"/>
  <c r="B166" i="16"/>
  <c r="B160" i="16"/>
  <c r="Q35" i="1"/>
  <c r="L35" i="14"/>
  <c r="D124" i="1"/>
  <c r="G19" i="1"/>
  <c r="G186" i="1"/>
  <c r="M17" i="9"/>
  <c r="G8" i="11"/>
  <c r="M37" i="1"/>
  <c r="G66" i="11"/>
  <c r="M62" i="13"/>
  <c r="D81" i="13"/>
  <c r="L35" i="13"/>
  <c r="G32" i="13"/>
  <c r="N35" i="10"/>
  <c r="G34" i="10"/>
  <c r="N31" i="10"/>
  <c r="E103" i="9"/>
  <c r="E120" i="9" s="1"/>
  <c r="G88" i="1"/>
  <c r="G38" i="9"/>
  <c r="G25" i="1"/>
  <c r="L23" i="10"/>
  <c r="L29" i="10"/>
  <c r="C83" i="10"/>
  <c r="C85" i="10" s="1"/>
  <c r="G66" i="13"/>
  <c r="M57" i="13"/>
  <c r="N60" i="13"/>
  <c r="N57" i="13" s="1"/>
  <c r="E69" i="11"/>
  <c r="E82" i="11" s="1"/>
  <c r="N69" i="11"/>
  <c r="F69" i="11" s="1"/>
  <c r="E20" i="10"/>
  <c r="N20" i="10"/>
  <c r="F20" i="10" s="1"/>
  <c r="E39" i="10"/>
  <c r="N39" i="10"/>
  <c r="F39" i="10" s="1"/>
  <c r="M25" i="10"/>
  <c r="N27" i="10"/>
  <c r="E27" i="10"/>
  <c r="E69" i="14"/>
  <c r="N69" i="14"/>
  <c r="F69" i="14" s="1"/>
  <c r="D82" i="10"/>
  <c r="D79" i="10"/>
  <c r="P34" i="1"/>
  <c r="M35" i="9"/>
  <c r="F65" i="13"/>
  <c r="N63" i="13"/>
  <c r="F21" i="10"/>
  <c r="D76" i="10"/>
  <c r="E51" i="10"/>
  <c r="N51" i="10"/>
  <c r="F51" i="10" s="1"/>
  <c r="N72" i="10"/>
  <c r="F72" i="10" s="1"/>
  <c r="E72" i="10"/>
  <c r="N69" i="10"/>
  <c r="F69" i="10" s="1"/>
  <c r="E69" i="10"/>
  <c r="G16" i="9"/>
  <c r="Q34" i="1"/>
  <c r="L29" i="11"/>
  <c r="E48" i="10"/>
  <c r="N48" i="10"/>
  <c r="F48" i="10" s="1"/>
  <c r="E22" i="10"/>
  <c r="N22" i="10"/>
  <c r="F22" i="10" s="1"/>
  <c r="N7" i="10"/>
  <c r="F10" i="10"/>
  <c r="G10" i="10" s="1"/>
  <c r="E16" i="10"/>
  <c r="N16" i="10"/>
  <c r="M13" i="10"/>
  <c r="C114" i="13"/>
  <c r="C120" i="13"/>
  <c r="G11" i="1"/>
  <c r="E33" i="10"/>
  <c r="M31" i="10"/>
  <c r="M52" i="1"/>
  <c r="N38" i="10"/>
  <c r="F38" i="10" s="1"/>
  <c r="E38" i="10"/>
  <c r="M37" i="10"/>
  <c r="G15" i="10"/>
  <c r="N47" i="1"/>
  <c r="N23" i="1"/>
  <c r="Q24" i="1" s="1"/>
  <c r="G40" i="9"/>
  <c r="N26" i="10"/>
  <c r="F26" i="10" s="1"/>
  <c r="E26" i="10"/>
  <c r="E9" i="10"/>
  <c r="M7" i="10"/>
  <c r="N45" i="10"/>
  <c r="F45" i="10" s="1"/>
  <c r="E45" i="10"/>
  <c r="D80" i="10"/>
  <c r="Q9" i="1"/>
  <c r="Q11" i="1"/>
  <c r="Q10" i="1"/>
  <c r="P9" i="1"/>
  <c r="E60" i="13"/>
  <c r="M58" i="13"/>
  <c r="E21" i="10"/>
  <c r="M19" i="10"/>
  <c r="L17" i="10"/>
  <c r="G31" i="1"/>
  <c r="D79" i="11"/>
  <c r="G56" i="13"/>
  <c r="G26" i="11"/>
  <c r="G20" i="11"/>
  <c r="M89" i="1"/>
  <c r="L41" i="10"/>
  <c r="G40" i="14"/>
  <c r="N32" i="1"/>
  <c r="N22" i="11"/>
  <c r="E22" i="11"/>
  <c r="M23" i="11" s="1"/>
  <c r="M19" i="11"/>
  <c r="E39" i="13"/>
  <c r="G39" i="13" s="1"/>
  <c r="M37" i="13"/>
  <c r="Q50" i="1"/>
  <c r="P49" i="1"/>
  <c r="Q51" i="1"/>
  <c r="Q49" i="1"/>
  <c r="E65" i="13"/>
  <c r="M63" i="13"/>
  <c r="N14" i="10"/>
  <c r="F14" i="10" s="1"/>
  <c r="E14" i="10"/>
  <c r="E28" i="14"/>
  <c r="M29" i="14" s="1"/>
  <c r="N28" i="14"/>
  <c r="F28" i="14" s="1"/>
  <c r="M25" i="13"/>
  <c r="E27" i="13"/>
  <c r="N27" i="13"/>
  <c r="D80" i="11"/>
  <c r="E34" i="13"/>
  <c r="N34" i="13"/>
  <c r="F34" i="13" s="1"/>
  <c r="E14" i="13"/>
  <c r="N14" i="13"/>
  <c r="F14" i="13" s="1"/>
  <c r="E51" i="13"/>
  <c r="N51" i="13"/>
  <c r="F51" i="13" s="1"/>
  <c r="N17" i="1"/>
  <c r="N73" i="1"/>
  <c r="N75" i="1"/>
  <c r="E45" i="13"/>
  <c r="N45" i="13"/>
  <c r="F45" i="13" s="1"/>
  <c r="G15" i="1"/>
  <c r="F33" i="9"/>
  <c r="G33" i="9" s="1"/>
  <c r="N31" i="9"/>
  <c r="F27" i="14"/>
  <c r="G27" i="14" s="1"/>
  <c r="F64" i="13"/>
  <c r="N62" i="13"/>
  <c r="E28" i="11"/>
  <c r="N28" i="11"/>
  <c r="F28" i="11" s="1"/>
  <c r="D81" i="11"/>
  <c r="E32" i="14"/>
  <c r="N32" i="14"/>
  <c r="F32" i="14" s="1"/>
  <c r="F66" i="1"/>
  <c r="F66" i="16" s="1"/>
  <c r="N63" i="1"/>
  <c r="Q64" i="1" s="1"/>
  <c r="N53" i="1"/>
  <c r="Q54" i="1" s="1"/>
  <c r="F55" i="1"/>
  <c r="M22" i="1"/>
  <c r="E117" i="1"/>
  <c r="N43" i="1"/>
  <c r="Q45" i="1" s="1"/>
  <c r="E33" i="11"/>
  <c r="N33" i="11"/>
  <c r="F33" i="11" s="1"/>
  <c r="M31" i="11"/>
  <c r="E22" i="13"/>
  <c r="M23" i="13" s="1"/>
  <c r="N22" i="13"/>
  <c r="F22" i="13" s="1"/>
  <c r="D79" i="14"/>
  <c r="L17" i="13"/>
  <c r="F59" i="10"/>
  <c r="N57" i="10"/>
  <c r="E32" i="11"/>
  <c r="N32" i="11"/>
  <c r="F32" i="11" s="1"/>
  <c r="G45" i="1"/>
  <c r="M32" i="1"/>
  <c r="G16" i="1"/>
  <c r="E144" i="1"/>
  <c r="L29" i="14"/>
  <c r="E16" i="13"/>
  <c r="N16" i="13"/>
  <c r="F16" i="13" s="1"/>
  <c r="F33" i="14"/>
  <c r="G33" i="14" s="1"/>
  <c r="F9" i="14"/>
  <c r="E34" i="14"/>
  <c r="N34" i="14"/>
  <c r="F34" i="14" s="1"/>
  <c r="M31" i="14"/>
  <c r="E119" i="1"/>
  <c r="M25" i="11"/>
  <c r="E27" i="11"/>
  <c r="N27" i="11"/>
  <c r="D80" i="13"/>
  <c r="N28" i="1"/>
  <c r="M17" i="1"/>
  <c r="F34" i="11"/>
  <c r="G34" i="11" s="1"/>
  <c r="N77" i="1"/>
  <c r="N79" i="1"/>
  <c r="C83" i="11"/>
  <c r="C85" i="11" s="1"/>
  <c r="F15" i="14"/>
  <c r="F39" i="11"/>
  <c r="E28" i="13"/>
  <c r="N28" i="13"/>
  <c r="F28" i="13" s="1"/>
  <c r="F64" i="14"/>
  <c r="G64" i="14" s="1"/>
  <c r="N62" i="14"/>
  <c r="E10" i="14"/>
  <c r="N10" i="14"/>
  <c r="F10" i="14" s="1"/>
  <c r="N18" i="1"/>
  <c r="Q21" i="1" s="1"/>
  <c r="F20" i="1"/>
  <c r="N22" i="1" s="1"/>
  <c r="G72" i="11"/>
  <c r="E69" i="13"/>
  <c r="N69" i="13"/>
  <c r="F69" i="13" s="1"/>
  <c r="M31" i="13"/>
  <c r="E33" i="13"/>
  <c r="N33" i="13"/>
  <c r="F39" i="14"/>
  <c r="G39" i="14" s="1"/>
  <c r="N37" i="14"/>
  <c r="Q40" i="14" s="1"/>
  <c r="E16" i="11"/>
  <c r="N16" i="11"/>
  <c r="F16" i="11" s="1"/>
  <c r="E54" i="14"/>
  <c r="N54" i="14"/>
  <c r="M52" i="14"/>
  <c r="E103" i="14" s="1"/>
  <c r="E75" i="14"/>
  <c r="N75" i="14"/>
  <c r="F75" i="14" s="1"/>
  <c r="Q60" i="9"/>
  <c r="Q59" i="9"/>
  <c r="Q61" i="9"/>
  <c r="P59" i="9"/>
  <c r="G32" i="9"/>
  <c r="E114" i="1"/>
  <c r="E8" i="13"/>
  <c r="N8" i="13"/>
  <c r="F8" i="13" s="1"/>
  <c r="D76" i="11"/>
  <c r="E48" i="13"/>
  <c r="N48" i="13"/>
  <c r="F48" i="13" s="1"/>
  <c r="L35" i="11"/>
  <c r="E38" i="13"/>
  <c r="N38" i="13"/>
  <c r="F38" i="13" s="1"/>
  <c r="F56" i="14"/>
  <c r="G56" i="14" s="1"/>
  <c r="N53" i="14"/>
  <c r="P54" i="14" s="1"/>
  <c r="E16" i="14"/>
  <c r="N16" i="14"/>
  <c r="F16" i="14" s="1"/>
  <c r="M13" i="14"/>
  <c r="N97" i="1"/>
  <c r="P98" i="1" s="1"/>
  <c r="F99" i="1"/>
  <c r="G99" i="1" s="1"/>
  <c r="N19" i="9"/>
  <c r="F22" i="9"/>
  <c r="N23" i="9" s="1"/>
  <c r="E14" i="11"/>
  <c r="N14" i="11"/>
  <c r="F14" i="11" s="1"/>
  <c r="N84" i="1"/>
  <c r="F87" i="1"/>
  <c r="N85" i="1"/>
  <c r="Q87" i="1" s="1"/>
  <c r="L29" i="13"/>
  <c r="G49" i="1"/>
  <c r="M71" i="1"/>
  <c r="E118" i="1"/>
  <c r="M25" i="14"/>
  <c r="G30" i="1"/>
  <c r="F9" i="11"/>
  <c r="G9" i="11" s="1"/>
  <c r="N7" i="11"/>
  <c r="F60" i="1"/>
  <c r="N58" i="1"/>
  <c r="P59" i="1" s="1"/>
  <c r="N12" i="1"/>
  <c r="E65" i="11"/>
  <c r="N65" i="11"/>
  <c r="M63" i="11"/>
  <c r="N7" i="13"/>
  <c r="Q10" i="13" s="1"/>
  <c r="F9" i="13"/>
  <c r="G9" i="13" s="1"/>
  <c r="F40" i="10"/>
  <c r="D82" i="14"/>
  <c r="G40" i="11"/>
  <c r="G9" i="1"/>
  <c r="E48" i="11"/>
  <c r="E80" i="11" s="1"/>
  <c r="N48" i="11"/>
  <c r="F48" i="11" s="1"/>
  <c r="D76" i="13"/>
  <c r="L11" i="13"/>
  <c r="D79" i="13"/>
  <c r="M41" i="14"/>
  <c r="G38" i="14"/>
  <c r="M105" i="1"/>
  <c r="E120" i="1"/>
  <c r="E15" i="11"/>
  <c r="N15" i="11"/>
  <c r="M13" i="11"/>
  <c r="D76" i="14"/>
  <c r="N64" i="11"/>
  <c r="E64" i="11"/>
  <c r="M62" i="11"/>
  <c r="L41" i="13"/>
  <c r="N27" i="1"/>
  <c r="G26" i="1"/>
  <c r="G20" i="14"/>
  <c r="N13" i="1"/>
  <c r="Q15" i="1" s="1"/>
  <c r="L17" i="11"/>
  <c r="G10" i="13"/>
  <c r="F59" i="13"/>
  <c r="G59" i="13" s="1"/>
  <c r="M13" i="13"/>
  <c r="E15" i="13"/>
  <c r="N15" i="13"/>
  <c r="C83" i="14"/>
  <c r="C83" i="13"/>
  <c r="M7" i="14"/>
  <c r="G38" i="11"/>
  <c r="N69" i="1"/>
  <c r="P70" i="1" s="1"/>
  <c r="N53" i="13"/>
  <c r="Q54" i="13" s="1"/>
  <c r="M19" i="13"/>
  <c r="L17" i="14"/>
  <c r="F64" i="16" l="1"/>
  <c r="G64" i="16" s="1"/>
  <c r="E80" i="9"/>
  <c r="B164" i="1"/>
  <c r="B162" i="1" s="1"/>
  <c r="B175" i="1"/>
  <c r="B178" i="1" s="1"/>
  <c r="B179" i="1" s="1"/>
  <c r="B181" i="1" s="1"/>
  <c r="Q82" i="1"/>
  <c r="A82" i="1" s="1"/>
  <c r="N58" i="16"/>
  <c r="P59" i="16" s="1"/>
  <c r="M17" i="14"/>
  <c r="E80" i="14"/>
  <c r="E103" i="10"/>
  <c r="E120" i="10" s="1"/>
  <c r="F120" i="1"/>
  <c r="G120" i="1" s="1"/>
  <c r="N19" i="14"/>
  <c r="Q20" i="14" s="1"/>
  <c r="D114" i="14"/>
  <c r="Q59" i="14"/>
  <c r="G10" i="11"/>
  <c r="F82" i="11"/>
  <c r="G82" i="11" s="1"/>
  <c r="G59" i="10"/>
  <c r="Q94" i="1"/>
  <c r="Q93" i="1"/>
  <c r="A93" i="1" s="1"/>
  <c r="F55" i="11"/>
  <c r="G55" i="11" s="1"/>
  <c r="Q92" i="1"/>
  <c r="A92" i="1" s="1"/>
  <c r="G64" i="13"/>
  <c r="N25" i="9"/>
  <c r="Q27" i="9" s="1"/>
  <c r="G22" i="14"/>
  <c r="G39" i="11"/>
  <c r="G15" i="14"/>
  <c r="P59" i="14"/>
  <c r="E79" i="9"/>
  <c r="G28" i="9"/>
  <c r="F60" i="11"/>
  <c r="G60" i="11" s="1"/>
  <c r="N105" i="1"/>
  <c r="Q33" i="9"/>
  <c r="N37" i="13"/>
  <c r="Q38" i="13" s="1"/>
  <c r="D114" i="11"/>
  <c r="Q60" i="14"/>
  <c r="C118" i="10"/>
  <c r="C116" i="10" s="1"/>
  <c r="G66" i="14"/>
  <c r="F80" i="14"/>
  <c r="G80" i="9"/>
  <c r="G82" i="9"/>
  <c r="F144" i="1"/>
  <c r="Q22" i="9"/>
  <c r="N63" i="14"/>
  <c r="P64" i="14" s="1"/>
  <c r="N53" i="11"/>
  <c r="P54" i="11" s="1"/>
  <c r="N58" i="11"/>
  <c r="Q60" i="11" s="1"/>
  <c r="C118" i="9"/>
  <c r="C116" i="9" s="1"/>
  <c r="P54" i="16"/>
  <c r="F80" i="11"/>
  <c r="G80" i="11" s="1"/>
  <c r="N37" i="9"/>
  <c r="Q40" i="9" s="1"/>
  <c r="P14" i="9"/>
  <c r="Q55" i="16"/>
  <c r="D83" i="9"/>
  <c r="D85" i="9" s="1"/>
  <c r="D118" i="9" s="1"/>
  <c r="D116" i="9" s="1"/>
  <c r="Q54" i="16"/>
  <c r="M67" i="16"/>
  <c r="C166" i="16"/>
  <c r="D122" i="16"/>
  <c r="D162" i="16" s="1"/>
  <c r="D160" i="16" s="1"/>
  <c r="D158" i="16" s="1"/>
  <c r="D120" i="13"/>
  <c r="P64" i="10"/>
  <c r="N41" i="13"/>
  <c r="Q64" i="10"/>
  <c r="Q65" i="10"/>
  <c r="E103" i="11"/>
  <c r="E114" i="11" s="1"/>
  <c r="F59" i="16"/>
  <c r="G59" i="16" s="1"/>
  <c r="G59" i="1"/>
  <c r="F15" i="9"/>
  <c r="G15" i="9" s="1"/>
  <c r="Q64" i="16"/>
  <c r="Q66" i="16"/>
  <c r="P64" i="16"/>
  <c r="F65" i="16"/>
  <c r="G65" i="16" s="1"/>
  <c r="G65" i="1"/>
  <c r="N52" i="9"/>
  <c r="F103" i="9" s="1"/>
  <c r="F82" i="13"/>
  <c r="G56" i="10"/>
  <c r="Q19" i="1"/>
  <c r="D184" i="1"/>
  <c r="D187" i="1" s="1"/>
  <c r="E81" i="10"/>
  <c r="E81" i="9"/>
  <c r="E76" i="9"/>
  <c r="N53" i="10"/>
  <c r="P54" i="10" s="1"/>
  <c r="Q55" i="9"/>
  <c r="E114" i="10"/>
  <c r="Q34" i="10"/>
  <c r="P54" i="9"/>
  <c r="Q54" i="9"/>
  <c r="A35" i="1"/>
  <c r="N62" i="10"/>
  <c r="F103" i="10" s="1"/>
  <c r="F64" i="10"/>
  <c r="G64" i="10" s="1"/>
  <c r="Q44" i="1"/>
  <c r="Q59" i="10"/>
  <c r="Q60" i="10"/>
  <c r="Q61" i="10"/>
  <c r="P59" i="10"/>
  <c r="G66" i="16"/>
  <c r="M11" i="9"/>
  <c r="E114" i="9"/>
  <c r="F54" i="13"/>
  <c r="G54" i="13" s="1"/>
  <c r="N52" i="13"/>
  <c r="F103" i="13" s="1"/>
  <c r="F114" i="13" s="1"/>
  <c r="M62" i="16"/>
  <c r="N62" i="1"/>
  <c r="F60" i="16"/>
  <c r="F66" i="9"/>
  <c r="G66" i="9" s="1"/>
  <c r="N63" i="9"/>
  <c r="Q65" i="9" s="1"/>
  <c r="F10" i="9"/>
  <c r="N11" i="9" s="1"/>
  <c r="N7" i="9"/>
  <c r="P54" i="1"/>
  <c r="A54" i="1" s="1"/>
  <c r="B158" i="16"/>
  <c r="N57" i="1"/>
  <c r="F55" i="16"/>
  <c r="M57" i="16"/>
  <c r="E113" i="16"/>
  <c r="E110" i="16"/>
  <c r="C187" i="1"/>
  <c r="N11" i="10"/>
  <c r="M29" i="10"/>
  <c r="Q88" i="1"/>
  <c r="F82" i="14"/>
  <c r="Q33" i="10"/>
  <c r="M41" i="13"/>
  <c r="G20" i="10"/>
  <c r="Q55" i="1"/>
  <c r="E81" i="11"/>
  <c r="Q56" i="1"/>
  <c r="Q46" i="1"/>
  <c r="Q20" i="1"/>
  <c r="G32" i="11"/>
  <c r="E124" i="1"/>
  <c r="E126" i="1" s="1"/>
  <c r="D83" i="13"/>
  <c r="D85" i="13" s="1"/>
  <c r="D118" i="13" s="1"/>
  <c r="Q26" i="1"/>
  <c r="N41" i="10"/>
  <c r="P24" i="1"/>
  <c r="A24" i="1" s="1"/>
  <c r="E103" i="13"/>
  <c r="Q25" i="1"/>
  <c r="Q65" i="13"/>
  <c r="N37" i="10"/>
  <c r="Q39" i="10" s="1"/>
  <c r="P64" i="1"/>
  <c r="A64" i="1" s="1"/>
  <c r="N25" i="14"/>
  <c r="P26" i="14" s="1"/>
  <c r="G21" i="10"/>
  <c r="E82" i="14"/>
  <c r="E81" i="13"/>
  <c r="M41" i="10"/>
  <c r="G45" i="13"/>
  <c r="G14" i="13"/>
  <c r="G65" i="13"/>
  <c r="G38" i="13"/>
  <c r="N31" i="11"/>
  <c r="Q34" i="11" s="1"/>
  <c r="D83" i="10"/>
  <c r="D85" i="10" s="1"/>
  <c r="D118" i="10" s="1"/>
  <c r="D116" i="10" s="1"/>
  <c r="G51" i="10"/>
  <c r="F82" i="10"/>
  <c r="M17" i="10"/>
  <c r="G72" i="10"/>
  <c r="Q34" i="9"/>
  <c r="G54" i="9"/>
  <c r="Q32" i="9"/>
  <c r="P44" i="1"/>
  <c r="A45" i="1" s="1"/>
  <c r="A34" i="1"/>
  <c r="F114" i="1"/>
  <c r="G114" i="1" s="1"/>
  <c r="G16" i="14"/>
  <c r="N41" i="11"/>
  <c r="P19" i="1"/>
  <c r="Q65" i="1"/>
  <c r="N35" i="9"/>
  <c r="Q10" i="10"/>
  <c r="G38" i="10"/>
  <c r="P32" i="9"/>
  <c r="Q66" i="1"/>
  <c r="G34" i="14"/>
  <c r="G28" i="14"/>
  <c r="G14" i="10"/>
  <c r="G28" i="13"/>
  <c r="N13" i="14"/>
  <c r="Q14" i="14" s="1"/>
  <c r="Q64" i="13"/>
  <c r="G22" i="10"/>
  <c r="G69" i="14"/>
  <c r="G33" i="11"/>
  <c r="Q61" i="1"/>
  <c r="G28" i="11"/>
  <c r="G51" i="13"/>
  <c r="G26" i="10"/>
  <c r="D83" i="11"/>
  <c r="D85" i="11" s="1"/>
  <c r="F80" i="10"/>
  <c r="N19" i="10"/>
  <c r="Q22" i="10" s="1"/>
  <c r="G39" i="10"/>
  <c r="G60" i="1"/>
  <c r="G8" i="13"/>
  <c r="P8" i="13"/>
  <c r="P64" i="13"/>
  <c r="G48" i="10"/>
  <c r="E82" i="10"/>
  <c r="G69" i="10"/>
  <c r="N25" i="10"/>
  <c r="F27" i="10"/>
  <c r="G69" i="11"/>
  <c r="Q14" i="1"/>
  <c r="Q59" i="1"/>
  <c r="A59" i="1" s="1"/>
  <c r="Q39" i="14"/>
  <c r="F16" i="10"/>
  <c r="G16" i="10" s="1"/>
  <c r="N13" i="10"/>
  <c r="Q15" i="10" s="1"/>
  <c r="N23" i="10"/>
  <c r="F60" i="13"/>
  <c r="G60" i="13" s="1"/>
  <c r="N58" i="13"/>
  <c r="Q61" i="13" s="1"/>
  <c r="P8" i="10"/>
  <c r="G16" i="11"/>
  <c r="N31" i="14"/>
  <c r="Q33" i="14" s="1"/>
  <c r="G34" i="13"/>
  <c r="A50" i="1"/>
  <c r="A49" i="1"/>
  <c r="A9" i="1"/>
  <c r="M11" i="10"/>
  <c r="G9" i="10"/>
  <c r="Q66" i="13"/>
  <c r="Q15" i="9"/>
  <c r="Q14" i="9"/>
  <c r="N17" i="14"/>
  <c r="N29" i="14"/>
  <c r="E79" i="10"/>
  <c r="Q16" i="9"/>
  <c r="A10" i="1"/>
  <c r="G45" i="10"/>
  <c r="E80" i="10"/>
  <c r="Q8" i="10"/>
  <c r="E76" i="14"/>
  <c r="F22" i="11"/>
  <c r="N19" i="11"/>
  <c r="Q20" i="11" s="1"/>
  <c r="G33" i="10"/>
  <c r="M35" i="10"/>
  <c r="Q99" i="1"/>
  <c r="A99" i="1" s="1"/>
  <c r="E76" i="10"/>
  <c r="G75" i="14"/>
  <c r="N35" i="14"/>
  <c r="M23" i="10"/>
  <c r="Q9" i="10"/>
  <c r="P32" i="10"/>
  <c r="Q32" i="10"/>
  <c r="F15" i="13"/>
  <c r="G15" i="13" s="1"/>
  <c r="N13" i="13"/>
  <c r="Q14" i="13" s="1"/>
  <c r="N13" i="11"/>
  <c r="Q14" i="11" s="1"/>
  <c r="F15" i="11"/>
  <c r="G15" i="11" s="1"/>
  <c r="M17" i="11"/>
  <c r="G14" i="11"/>
  <c r="P20" i="9"/>
  <c r="Q86" i="1"/>
  <c r="N11" i="14"/>
  <c r="G22" i="9"/>
  <c r="M29" i="11"/>
  <c r="Q100" i="1"/>
  <c r="E79" i="11"/>
  <c r="P54" i="13"/>
  <c r="N89" i="1"/>
  <c r="F119" i="1"/>
  <c r="G119" i="1" s="1"/>
  <c r="G48" i="13"/>
  <c r="C118" i="11"/>
  <c r="N11" i="13"/>
  <c r="F54" i="14"/>
  <c r="F81" i="14" s="1"/>
  <c r="N52" i="14"/>
  <c r="F103" i="14" s="1"/>
  <c r="Q38" i="14"/>
  <c r="Q16" i="1"/>
  <c r="E82" i="13"/>
  <c r="G69" i="13"/>
  <c r="Q39" i="11"/>
  <c r="Q38" i="11"/>
  <c r="Q40" i="11"/>
  <c r="P38" i="11"/>
  <c r="P78" i="1"/>
  <c r="Q78" i="1"/>
  <c r="N7" i="14"/>
  <c r="Q10" i="14" s="1"/>
  <c r="G40" i="10"/>
  <c r="G16" i="13"/>
  <c r="Q56" i="14"/>
  <c r="Q21" i="9"/>
  <c r="G22" i="13"/>
  <c r="Q60" i="1"/>
  <c r="M35" i="14"/>
  <c r="Q9" i="13"/>
  <c r="N23" i="14"/>
  <c r="F80" i="13"/>
  <c r="P74" i="1"/>
  <c r="Q74" i="1"/>
  <c r="E79" i="14"/>
  <c r="G48" i="11"/>
  <c r="E114" i="14"/>
  <c r="E120" i="14"/>
  <c r="N25" i="11"/>
  <c r="Q27" i="11" s="1"/>
  <c r="F27" i="11"/>
  <c r="N29" i="11" s="1"/>
  <c r="N71" i="1"/>
  <c r="F118" i="1"/>
  <c r="G118" i="1" s="1"/>
  <c r="G70" i="1"/>
  <c r="F79" i="14"/>
  <c r="M35" i="13"/>
  <c r="Q98" i="1"/>
  <c r="A98" i="1" s="1"/>
  <c r="G55" i="1"/>
  <c r="Q56" i="13"/>
  <c r="Q70" i="1"/>
  <c r="A70" i="1" s="1"/>
  <c r="E76" i="13"/>
  <c r="E79" i="13"/>
  <c r="M11" i="13"/>
  <c r="A59" i="9"/>
  <c r="A60" i="9"/>
  <c r="E81" i="14"/>
  <c r="P14" i="1"/>
  <c r="A15" i="1" s="1"/>
  <c r="N19" i="13"/>
  <c r="P20" i="13" s="1"/>
  <c r="G32" i="14"/>
  <c r="N11" i="11"/>
  <c r="M29" i="13"/>
  <c r="Q55" i="14"/>
  <c r="A55" i="14" s="1"/>
  <c r="Q20" i="9"/>
  <c r="N35" i="11"/>
  <c r="G20" i="1"/>
  <c r="G10" i="14"/>
  <c r="Q8" i="13"/>
  <c r="E80" i="13"/>
  <c r="M11" i="14"/>
  <c r="M17" i="13"/>
  <c r="G9" i="14"/>
  <c r="Q55" i="13"/>
  <c r="D126" i="1"/>
  <c r="Q54" i="14"/>
  <c r="A54" i="14" s="1"/>
  <c r="G74" i="1"/>
  <c r="C85" i="13"/>
  <c r="C85" i="14"/>
  <c r="F64" i="11"/>
  <c r="G64" i="11" s="1"/>
  <c r="N62" i="11"/>
  <c r="F103" i="11" s="1"/>
  <c r="G78" i="1"/>
  <c r="F65" i="11"/>
  <c r="G65" i="11" s="1"/>
  <c r="N63" i="11"/>
  <c r="Q66" i="11" s="1"/>
  <c r="F117" i="1"/>
  <c r="Q9" i="11"/>
  <c r="Q10" i="11"/>
  <c r="Q8" i="11"/>
  <c r="P8" i="11"/>
  <c r="E76" i="11"/>
  <c r="N41" i="14"/>
  <c r="N101" i="1"/>
  <c r="F33" i="13"/>
  <c r="N35" i="13" s="1"/>
  <c r="N31" i="13"/>
  <c r="Q32" i="13" s="1"/>
  <c r="N41" i="9"/>
  <c r="G39" i="9"/>
  <c r="N23" i="13"/>
  <c r="P29" i="1"/>
  <c r="Q30" i="1"/>
  <c r="Q29" i="1"/>
  <c r="Q31" i="1"/>
  <c r="P86" i="1"/>
  <c r="E168" i="1"/>
  <c r="G87" i="1"/>
  <c r="M35" i="11"/>
  <c r="D83" i="14"/>
  <c r="D85" i="14" s="1"/>
  <c r="G66" i="1"/>
  <c r="N67" i="1"/>
  <c r="P38" i="14"/>
  <c r="N25" i="13"/>
  <c r="Q27" i="13" s="1"/>
  <c r="F27" i="13"/>
  <c r="N29" i="13" s="1"/>
  <c r="Q61" i="16" l="1"/>
  <c r="Q60" i="16"/>
  <c r="A60" i="16" s="1"/>
  <c r="Q59" i="16"/>
  <c r="F168" i="1"/>
  <c r="G168" i="1" s="1"/>
  <c r="P59" i="11"/>
  <c r="A60" i="11" s="1"/>
  <c r="G80" i="14"/>
  <c r="Q21" i="14"/>
  <c r="Q22" i="14"/>
  <c r="P20" i="14"/>
  <c r="A20" i="14" s="1"/>
  <c r="D118" i="14"/>
  <c r="D155" i="1" s="1"/>
  <c r="A59" i="14"/>
  <c r="P26" i="9"/>
  <c r="A27" i="9" s="1"/>
  <c r="Q28" i="9"/>
  <c r="Q26" i="9"/>
  <c r="A60" i="14"/>
  <c r="Q61" i="11"/>
  <c r="C149" i="1"/>
  <c r="Q40" i="13"/>
  <c r="Q59" i="11"/>
  <c r="P38" i="13"/>
  <c r="A38" i="13" s="1"/>
  <c r="E83" i="9"/>
  <c r="E85" i="9" s="1"/>
  <c r="E118" i="9" s="1"/>
  <c r="Q39" i="13"/>
  <c r="C123" i="10"/>
  <c r="C126" i="10" s="1"/>
  <c r="Q54" i="11"/>
  <c r="A54" i="11" s="1"/>
  <c r="Q55" i="11"/>
  <c r="A55" i="11" s="1"/>
  <c r="Q56" i="11"/>
  <c r="A33" i="9"/>
  <c r="D118" i="11"/>
  <c r="D151" i="1" s="1"/>
  <c r="A64" i="10"/>
  <c r="Q65" i="14"/>
  <c r="A65" i="14" s="1"/>
  <c r="F81" i="10"/>
  <c r="G81" i="10" s="1"/>
  <c r="G144" i="1"/>
  <c r="Q39" i="9"/>
  <c r="Q64" i="14"/>
  <c r="A64" i="14" s="1"/>
  <c r="P38" i="9"/>
  <c r="Q66" i="14"/>
  <c r="E120" i="11"/>
  <c r="Q38" i="9"/>
  <c r="A65" i="10"/>
  <c r="A14" i="9"/>
  <c r="A54" i="16"/>
  <c r="A55" i="16"/>
  <c r="C123" i="9"/>
  <c r="C126" i="9" s="1"/>
  <c r="C127" i="9" s="1"/>
  <c r="C147" i="1"/>
  <c r="A15" i="9"/>
  <c r="D123" i="9"/>
  <c r="D126" i="9" s="1"/>
  <c r="D127" i="9" s="1"/>
  <c r="D148" i="1" s="1"/>
  <c r="A60" i="1"/>
  <c r="A59" i="16"/>
  <c r="N62" i="16"/>
  <c r="D166" i="16"/>
  <c r="F114" i="9"/>
  <c r="G114" i="9" s="1"/>
  <c r="G103" i="9"/>
  <c r="F120" i="9"/>
  <c r="G120" i="9" s="1"/>
  <c r="N67" i="16"/>
  <c r="Q28" i="14"/>
  <c r="N17" i="9"/>
  <c r="A65" i="16"/>
  <c r="A64" i="16"/>
  <c r="D147" i="1"/>
  <c r="G82" i="13"/>
  <c r="Q54" i="10"/>
  <c r="A54" i="10" s="1"/>
  <c r="F79" i="9"/>
  <c r="G79" i="9" s="1"/>
  <c r="G82" i="14"/>
  <c r="Q26" i="14"/>
  <c r="A26" i="14" s="1"/>
  <c r="A19" i="1"/>
  <c r="Q55" i="10"/>
  <c r="A55" i="10" s="1"/>
  <c r="Q56" i="10"/>
  <c r="F120" i="10"/>
  <c r="G120" i="10" s="1"/>
  <c r="F114" i="10"/>
  <c r="G114" i="10" s="1"/>
  <c r="G103" i="10"/>
  <c r="A54" i="9"/>
  <c r="A55" i="9"/>
  <c r="D123" i="10"/>
  <c r="D126" i="10" s="1"/>
  <c r="D127" i="10" s="1"/>
  <c r="D150" i="1" s="1"/>
  <c r="G10" i="9"/>
  <c r="Q64" i="9"/>
  <c r="F81" i="9"/>
  <c r="G81" i="9" s="1"/>
  <c r="F76" i="9"/>
  <c r="G76" i="9" s="1"/>
  <c r="N17" i="11"/>
  <c r="G60" i="16"/>
  <c r="Q32" i="11"/>
  <c r="A59" i="10"/>
  <c r="A60" i="10"/>
  <c r="Q8" i="9"/>
  <c r="P8" i="9"/>
  <c r="Q10" i="9"/>
  <c r="Q9" i="9"/>
  <c r="P64" i="9"/>
  <c r="Q66" i="9"/>
  <c r="A55" i="1"/>
  <c r="G55" i="16"/>
  <c r="F113" i="16"/>
  <c r="F120" i="16" s="1"/>
  <c r="F185" i="1" s="1"/>
  <c r="N57" i="16"/>
  <c r="F110" i="16"/>
  <c r="G110" i="16" s="1"/>
  <c r="E120" i="16"/>
  <c r="E184" i="1"/>
  <c r="A8" i="13"/>
  <c r="A25" i="1"/>
  <c r="A20" i="1"/>
  <c r="F79" i="10"/>
  <c r="G54" i="14"/>
  <c r="F81" i="13"/>
  <c r="G81" i="13" s="1"/>
  <c r="A9" i="13"/>
  <c r="Q38" i="10"/>
  <c r="F124" i="1"/>
  <c r="F126" i="1" s="1"/>
  <c r="G126" i="1" s="1"/>
  <c r="Q40" i="10"/>
  <c r="G81" i="14"/>
  <c r="P38" i="10"/>
  <c r="A39" i="10" s="1"/>
  <c r="A65" i="13"/>
  <c r="P32" i="11"/>
  <c r="Q15" i="13"/>
  <c r="P14" i="14"/>
  <c r="A14" i="14" s="1"/>
  <c r="A44" i="1"/>
  <c r="G103" i="13"/>
  <c r="E114" i="13"/>
  <c r="G114" i="13" s="1"/>
  <c r="E120" i="13"/>
  <c r="F83" i="14"/>
  <c r="F120" i="13"/>
  <c r="Q20" i="10"/>
  <c r="G82" i="10"/>
  <c r="A65" i="1"/>
  <c r="F76" i="10"/>
  <c r="G76" i="10" s="1"/>
  <c r="Q27" i="14"/>
  <c r="A27" i="14" s="1"/>
  <c r="Q33" i="11"/>
  <c r="Q16" i="13"/>
  <c r="Q16" i="14"/>
  <c r="D149" i="1"/>
  <c r="F79" i="11"/>
  <c r="G79" i="11" s="1"/>
  <c r="G80" i="10"/>
  <c r="Q15" i="14"/>
  <c r="Q34" i="14"/>
  <c r="Q32" i="14"/>
  <c r="A64" i="13"/>
  <c r="N17" i="13"/>
  <c r="G80" i="13"/>
  <c r="P26" i="11"/>
  <c r="Q28" i="11"/>
  <c r="A32" i="9"/>
  <c r="P32" i="14"/>
  <c r="A33" i="14" s="1"/>
  <c r="Q26" i="11"/>
  <c r="P8" i="14"/>
  <c r="Q21" i="13"/>
  <c r="A21" i="13" s="1"/>
  <c r="Q64" i="11"/>
  <c r="P20" i="11"/>
  <c r="A20" i="11" s="1"/>
  <c r="E83" i="10"/>
  <c r="E85" i="10" s="1"/>
  <c r="E118" i="10" s="1"/>
  <c r="Q60" i="13"/>
  <c r="P59" i="13"/>
  <c r="Q26" i="10"/>
  <c r="P26" i="10"/>
  <c r="Q27" i="10"/>
  <c r="Q28" i="10"/>
  <c r="Q21" i="11"/>
  <c r="Q14" i="10"/>
  <c r="Q16" i="10"/>
  <c r="P14" i="10"/>
  <c r="Q59" i="13"/>
  <c r="P20" i="10"/>
  <c r="A78" i="1"/>
  <c r="Q21" i="10"/>
  <c r="N17" i="10"/>
  <c r="P64" i="11"/>
  <c r="N29" i="10"/>
  <c r="G27" i="10"/>
  <c r="A32" i="10"/>
  <c r="A33" i="10"/>
  <c r="Q16" i="11"/>
  <c r="P14" i="13"/>
  <c r="A14" i="13" s="1"/>
  <c r="Q28" i="13"/>
  <c r="Q22" i="11"/>
  <c r="A8" i="10"/>
  <c r="A9" i="10"/>
  <c r="A74" i="1"/>
  <c r="Q20" i="13"/>
  <c r="A20" i="13" s="1"/>
  <c r="F76" i="14"/>
  <c r="G76" i="14" s="1"/>
  <c r="G22" i="11"/>
  <c r="N23" i="11"/>
  <c r="F120" i="11"/>
  <c r="F114" i="11"/>
  <c r="G114" i="11" s="1"/>
  <c r="G103" i="11"/>
  <c r="C151" i="1"/>
  <c r="C116" i="11"/>
  <c r="C123" i="11"/>
  <c r="P14" i="11"/>
  <c r="C118" i="13"/>
  <c r="Q22" i="13"/>
  <c r="F81" i="11"/>
  <c r="G81" i="11" s="1"/>
  <c r="Q65" i="11"/>
  <c r="Q8" i="14"/>
  <c r="P26" i="13"/>
  <c r="E83" i="14"/>
  <c r="E85" i="14" s="1"/>
  <c r="E118" i="14" s="1"/>
  <c r="G79" i="14"/>
  <c r="G27" i="11"/>
  <c r="A39" i="11"/>
  <c r="A38" i="11"/>
  <c r="Q33" i="13"/>
  <c r="F120" i="14"/>
  <c r="G120" i="14" s="1"/>
  <c r="F114" i="14"/>
  <c r="G114" i="14" s="1"/>
  <c r="Q15" i="11"/>
  <c r="G27" i="13"/>
  <c r="F79" i="13"/>
  <c r="D123" i="13"/>
  <c r="D126" i="13" s="1"/>
  <c r="D127" i="13" s="1"/>
  <c r="D154" i="1" s="1"/>
  <c r="D153" i="1"/>
  <c r="D116" i="13"/>
  <c r="A39" i="14"/>
  <c r="A38" i="14"/>
  <c r="F76" i="11"/>
  <c r="G76" i="11" s="1"/>
  <c r="A87" i="1"/>
  <c r="A86" i="1"/>
  <c r="A29" i="1"/>
  <c r="A30" i="1"/>
  <c r="Q9" i="14"/>
  <c r="A14" i="1"/>
  <c r="Q26" i="13"/>
  <c r="Q34" i="13"/>
  <c r="F76" i="13"/>
  <c r="G76" i="13" s="1"/>
  <c r="A54" i="13"/>
  <c r="A55" i="13"/>
  <c r="G103" i="14"/>
  <c r="G33" i="13"/>
  <c r="A9" i="11"/>
  <c r="A8" i="11"/>
  <c r="C118" i="14"/>
  <c r="G117" i="1"/>
  <c r="E83" i="13"/>
  <c r="E85" i="13" s="1"/>
  <c r="P32" i="13"/>
  <c r="E83" i="11"/>
  <c r="A20" i="9"/>
  <c r="A21" i="9"/>
  <c r="A59" i="11" l="1"/>
  <c r="D116" i="14"/>
  <c r="D123" i="14"/>
  <c r="D126" i="14" s="1"/>
  <c r="D127" i="14" s="1"/>
  <c r="A21" i="14"/>
  <c r="A39" i="13"/>
  <c r="A26" i="9"/>
  <c r="D116" i="11"/>
  <c r="F83" i="10"/>
  <c r="F85" i="10" s="1"/>
  <c r="A39" i="9"/>
  <c r="D123" i="11"/>
  <c r="D126" i="11" s="1"/>
  <c r="D127" i="11" s="1"/>
  <c r="D152" i="1" s="1"/>
  <c r="L152" i="1" s="1"/>
  <c r="G120" i="11"/>
  <c r="A38" i="9"/>
  <c r="L148" i="1"/>
  <c r="D129" i="9"/>
  <c r="L150" i="1"/>
  <c r="D129" i="10"/>
  <c r="A32" i="11"/>
  <c r="F83" i="9"/>
  <c r="F85" i="9" s="1"/>
  <c r="A9" i="9"/>
  <c r="A8" i="9"/>
  <c r="G79" i="10"/>
  <c r="G113" i="16"/>
  <c r="A65" i="9"/>
  <c r="A64" i="9"/>
  <c r="E185" i="1"/>
  <c r="G120" i="16"/>
  <c r="E122" i="16"/>
  <c r="F184" i="1"/>
  <c r="F187" i="1" s="1"/>
  <c r="F122" i="16"/>
  <c r="F162" i="16" s="1"/>
  <c r="F83" i="13"/>
  <c r="F85" i="13" s="1"/>
  <c r="F118" i="13" s="1"/>
  <c r="F123" i="13" s="1"/>
  <c r="F126" i="13" s="1"/>
  <c r="F127" i="13" s="1"/>
  <c r="F154" i="1" s="1"/>
  <c r="A64" i="11"/>
  <c r="A38" i="10"/>
  <c r="A32" i="14"/>
  <c r="A9" i="14"/>
  <c r="A15" i="14"/>
  <c r="A20" i="10"/>
  <c r="G120" i="13"/>
  <c r="A26" i="11"/>
  <c r="A33" i="11"/>
  <c r="E118" i="13"/>
  <c r="E153" i="1" s="1"/>
  <c r="A27" i="11"/>
  <c r="A8" i="14"/>
  <c r="A65" i="11"/>
  <c r="A15" i="13"/>
  <c r="G79" i="13"/>
  <c r="A21" i="11"/>
  <c r="G124" i="1"/>
  <c r="F85" i="14"/>
  <c r="F118" i="14" s="1"/>
  <c r="G118" i="14" s="1"/>
  <c r="A60" i="13"/>
  <c r="A59" i="13"/>
  <c r="A21" i="10"/>
  <c r="A27" i="10"/>
  <c r="A26" i="10"/>
  <c r="A15" i="10"/>
  <c r="A14" i="10"/>
  <c r="D129" i="13"/>
  <c r="E149" i="1"/>
  <c r="E116" i="10"/>
  <c r="E123" i="10"/>
  <c r="E126" i="10" s="1"/>
  <c r="E127" i="10" s="1"/>
  <c r="E150" i="1" s="1"/>
  <c r="A32" i="13"/>
  <c r="A33" i="13"/>
  <c r="A27" i="13"/>
  <c r="A26" i="13"/>
  <c r="C126" i="11"/>
  <c r="F83" i="11"/>
  <c r="G83" i="11" s="1"/>
  <c r="E155" i="1"/>
  <c r="E123" i="14"/>
  <c r="E126" i="14" s="1"/>
  <c r="E127" i="14" s="1"/>
  <c r="E156" i="1" s="1"/>
  <c r="E116" i="14"/>
  <c r="A15" i="11"/>
  <c r="A14" i="11"/>
  <c r="C123" i="14"/>
  <c r="C116" i="14"/>
  <c r="C155" i="1"/>
  <c r="E85" i="11"/>
  <c r="E123" i="9"/>
  <c r="E116" i="9"/>
  <c r="E147" i="1"/>
  <c r="G83" i="14"/>
  <c r="C116" i="13"/>
  <c r="C153" i="1"/>
  <c r="C123" i="13"/>
  <c r="L154" i="1"/>
  <c r="D156" i="1"/>
  <c r="L156" i="1" s="1"/>
  <c r="D129" i="14"/>
  <c r="C127" i="10"/>
  <c r="C148" i="1"/>
  <c r="C129" i="9"/>
  <c r="G83" i="10" l="1"/>
  <c r="D129" i="11"/>
  <c r="G83" i="9"/>
  <c r="G83" i="13"/>
  <c r="G184" i="1"/>
  <c r="F160" i="16"/>
  <c r="F158" i="16" s="1"/>
  <c r="F166" i="16"/>
  <c r="E162" i="16"/>
  <c r="G122" i="16"/>
  <c r="E187" i="1"/>
  <c r="G187" i="1" s="1"/>
  <c r="G185" i="1"/>
  <c r="E123" i="13"/>
  <c r="E126" i="13" s="1"/>
  <c r="E127" i="13" s="1"/>
  <c r="E154" i="1" s="1"/>
  <c r="M154" i="1" s="1"/>
  <c r="E116" i="13"/>
  <c r="G85" i="13"/>
  <c r="G85" i="14"/>
  <c r="G118" i="13"/>
  <c r="F116" i="13"/>
  <c r="E129" i="10"/>
  <c r="F153" i="1"/>
  <c r="N154" i="1" s="1"/>
  <c r="M150" i="1"/>
  <c r="D157" i="1"/>
  <c r="M156" i="1"/>
  <c r="F85" i="11"/>
  <c r="F118" i="11" s="1"/>
  <c r="C126" i="13"/>
  <c r="E118" i="11"/>
  <c r="C126" i="14"/>
  <c r="E129" i="14"/>
  <c r="C127" i="11"/>
  <c r="F118" i="9"/>
  <c r="G85" i="9"/>
  <c r="F116" i="14"/>
  <c r="G116" i="14" s="1"/>
  <c r="F155" i="1"/>
  <c r="G155" i="1" s="1"/>
  <c r="F123" i="14"/>
  <c r="F126" i="14" s="1"/>
  <c r="F127" i="14" s="1"/>
  <c r="F156" i="1" s="1"/>
  <c r="E126" i="9"/>
  <c r="F118" i="10"/>
  <c r="G85" i="10"/>
  <c r="F129" i="13"/>
  <c r="K148" i="1"/>
  <c r="C150" i="1"/>
  <c r="C129" i="10"/>
  <c r="D159" i="1" l="1"/>
  <c r="D166" i="1" s="1"/>
  <c r="D164" i="1" s="1"/>
  <c r="D162" i="1" s="1"/>
  <c r="G116" i="13"/>
  <c r="E129" i="13"/>
  <c r="G123" i="13"/>
  <c r="E160" i="16"/>
  <c r="E166" i="16"/>
  <c r="G166" i="16" s="1"/>
  <c r="G162" i="16"/>
  <c r="G153" i="1"/>
  <c r="G85" i="11"/>
  <c r="F129" i="14"/>
  <c r="G123" i="14"/>
  <c r="C152" i="1"/>
  <c r="C129" i="11"/>
  <c r="E123" i="11"/>
  <c r="E151" i="1"/>
  <c r="E116" i="11"/>
  <c r="G118" i="11"/>
  <c r="C127" i="13"/>
  <c r="G126" i="13"/>
  <c r="E127" i="9"/>
  <c r="F151" i="1"/>
  <c r="F116" i="11"/>
  <c r="F123" i="11"/>
  <c r="F126" i="11" s="1"/>
  <c r="F127" i="11" s="1"/>
  <c r="F152" i="1" s="1"/>
  <c r="F123" i="10"/>
  <c r="F149" i="1"/>
  <c r="F116" i="10"/>
  <c r="G116" i="10" s="1"/>
  <c r="G118" i="10"/>
  <c r="N156" i="1"/>
  <c r="F123" i="9"/>
  <c r="F147" i="1"/>
  <c r="F116" i="9"/>
  <c r="G116" i="9" s="1"/>
  <c r="G118" i="9"/>
  <c r="G126" i="14"/>
  <c r="C127" i="14"/>
  <c r="D170" i="1"/>
  <c r="C170" i="1"/>
  <c r="K150" i="1"/>
  <c r="E158" i="16" l="1"/>
  <c r="G158" i="16" s="1"/>
  <c r="G160" i="16"/>
  <c r="E126" i="11"/>
  <c r="G123" i="11"/>
  <c r="C129" i="14"/>
  <c r="G129" i="14" s="1"/>
  <c r="G127" i="14"/>
  <c r="C156" i="1"/>
  <c r="F126" i="10"/>
  <c r="G123" i="10"/>
  <c r="N152" i="1"/>
  <c r="G147" i="1"/>
  <c r="F129" i="11"/>
  <c r="G116" i="11"/>
  <c r="F126" i="9"/>
  <c r="G123" i="9"/>
  <c r="G149" i="1"/>
  <c r="E148" i="1"/>
  <c r="E129" i="9"/>
  <c r="C154" i="1"/>
  <c r="C129" i="13"/>
  <c r="G129" i="13" s="1"/>
  <c r="G127" i="13"/>
  <c r="G151" i="1"/>
  <c r="K152" i="1"/>
  <c r="D171" i="1"/>
  <c r="C171" i="1"/>
  <c r="E171" i="1"/>
  <c r="D172" i="1" l="1"/>
  <c r="C172" i="1"/>
  <c r="M148" i="1"/>
  <c r="F127" i="9"/>
  <c r="G126" i="9"/>
  <c r="C157" i="1"/>
  <c r="C159" i="1" s="1"/>
  <c r="G154" i="1"/>
  <c r="K154" i="1"/>
  <c r="F127" i="10"/>
  <c r="G126" i="10"/>
  <c r="G156" i="1"/>
  <c r="K156" i="1"/>
  <c r="E127" i="11"/>
  <c r="G126" i="11"/>
  <c r="O156" i="1" l="1"/>
  <c r="E174" i="1"/>
  <c r="D174" i="1"/>
  <c r="C174" i="1"/>
  <c r="F174" i="1"/>
  <c r="O154" i="1"/>
  <c r="D173" i="1"/>
  <c r="C173" i="1"/>
  <c r="F173" i="1"/>
  <c r="E173" i="1"/>
  <c r="F148" i="1"/>
  <c r="F129" i="9"/>
  <c r="G129" i="9" s="1"/>
  <c r="G127" i="9"/>
  <c r="E152" i="1"/>
  <c r="G127" i="11"/>
  <c r="E129" i="11"/>
  <c r="G129" i="11" s="1"/>
  <c r="F150" i="1"/>
  <c r="G127" i="10"/>
  <c r="F129" i="10"/>
  <c r="G129" i="10" s="1"/>
  <c r="E170" i="1"/>
  <c r="D175" i="1" l="1"/>
  <c r="D178" i="1" s="1"/>
  <c r="D179" i="1" s="1"/>
  <c r="D181" i="1" s="1"/>
  <c r="G174" i="1"/>
  <c r="G173" i="1"/>
  <c r="G152" i="1"/>
  <c r="M152" i="1"/>
  <c r="E157" i="1"/>
  <c r="E159" i="1" s="1"/>
  <c r="N148" i="1"/>
  <c r="F157" i="1"/>
  <c r="G148" i="1"/>
  <c r="C166" i="1"/>
  <c r="G150" i="1"/>
  <c r="N150" i="1"/>
  <c r="F159" i="1" l="1"/>
  <c r="F166" i="1" s="1"/>
  <c r="F164" i="1" s="1"/>
  <c r="F162" i="1" s="1"/>
  <c r="O148" i="1"/>
  <c r="F170" i="1"/>
  <c r="G170" i="1" s="1"/>
  <c r="O150" i="1"/>
  <c r="F171" i="1"/>
  <c r="C164" i="1"/>
  <c r="C175" i="1"/>
  <c r="G157" i="1"/>
  <c r="F172" i="1"/>
  <c r="O152" i="1"/>
  <c r="E172" i="1"/>
  <c r="G172" i="1" l="1"/>
  <c r="E166" i="1"/>
  <c r="G159" i="1"/>
  <c r="F175" i="1"/>
  <c r="F178" i="1" s="1"/>
  <c r="F179" i="1" s="1"/>
  <c r="F181" i="1" s="1"/>
  <c r="G171" i="1"/>
  <c r="C178" i="1"/>
  <c r="C162" i="1"/>
  <c r="C179" i="1" l="1"/>
  <c r="E164" i="1"/>
  <c r="E175" i="1"/>
  <c r="G166" i="1"/>
  <c r="E162" i="1" l="1"/>
  <c r="G162" i="1" s="1"/>
  <c r="G164" i="1"/>
  <c r="C181" i="1"/>
  <c r="E178" i="1"/>
  <c r="G175" i="1"/>
  <c r="E179" i="1" l="1"/>
  <c r="G178" i="1"/>
  <c r="E181" i="1" l="1"/>
  <c r="G181" i="1" s="1"/>
  <c r="G1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tc={3213E03A-BE96-4377-BCAD-E33452753573}</author>
    <author>tc={2D3E67E2-46F2-4914-BFDE-F594788A1C94}</author>
    <author>tc={2681BBE7-A395-469B-B053-C6319185EC93}</author>
    <author>tc={FD210B73-2B4B-4F7C-BF99-CB8A5431F270}</author>
    <author>tc={679BBD74-E3E8-44E9-BCAA-F2554499E07F}</author>
  </authors>
  <commentList>
    <comment ref="AI3" authorId="0" shapeId="0" xr:uid="{3213E03A-BE96-4377-BCAD-E33452753573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for 7+ years of experience</t>
      </text>
    </comment>
    <comment ref="U4" authorId="1" shapeId="0" xr:uid="{2D3E67E2-46F2-4914-BFDE-F594788A1C9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Beginning FY 2023, the min wage for student workers is $14.50 and the min wage for Staff is $15.00
</t>
      </text>
    </comment>
    <comment ref="O88" authorId="2" shapeId="0" xr:uid="{2681BBE7-A395-469B-B053-C6319185EC9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Formula might need to be updated based on departmental limits on number of summer hours. </t>
      </text>
    </comment>
    <comment ref="O94" authorId="3" shapeId="0" xr:uid="{FD210B73-2B4B-4F7C-BF99-CB8A5431F27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Formula might need to be updated based on departmental limits on number of summer hours. </t>
      </text>
    </comment>
    <comment ref="O100" authorId="4" shapeId="0" xr:uid="{679BBD74-E3E8-44E9-BCAA-F2554499E07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Formula might need to be updated based on departmental limits on number of summer hours. </t>
      </text>
    </comment>
  </commentList>
</comments>
</file>

<file path=xl/sharedStrings.xml><?xml version="1.0" encoding="utf-8"?>
<sst xmlns="http://schemas.openxmlformats.org/spreadsheetml/2006/main" count="1880" uniqueCount="230">
  <si>
    <t>Subtotal-Direct Labor</t>
  </si>
  <si>
    <t>Subtotal-Fringe Benefits</t>
  </si>
  <si>
    <t>Total Direct Costs (TDC)</t>
  </si>
  <si>
    <t>Direct Labor</t>
  </si>
  <si>
    <t xml:space="preserve">Fringe Benefits </t>
  </si>
  <si>
    <t>Year 2</t>
  </si>
  <si>
    <t>Year 1</t>
  </si>
  <si>
    <t>Year 3</t>
  </si>
  <si>
    <t>Year 4</t>
  </si>
  <si>
    <t>Year 5</t>
  </si>
  <si>
    <t>Total</t>
  </si>
  <si>
    <t>Travel</t>
  </si>
  <si>
    <t>Subtotal-Travel</t>
  </si>
  <si>
    <t>Modified Total Direct Cost (MTDC) Base</t>
  </si>
  <si>
    <t>% COLA</t>
  </si>
  <si>
    <t>% AY effort ---&gt;</t>
  </si>
  <si>
    <t># of Post-docs ---&gt;</t>
  </si>
  <si>
    <t># of summer months ---&gt;</t>
  </si>
  <si>
    <t xml:space="preserve">ENTER DATA IN HIGHLIGHTED CELLS </t>
  </si>
  <si>
    <t># of Trips</t>
  </si>
  <si>
    <t># of Travelers</t>
  </si>
  <si>
    <t>Airfare</t>
  </si>
  <si>
    <t>Per Diem</t>
  </si>
  <si>
    <t>Cost Per Traveler Per Trip</t>
  </si>
  <si>
    <t># of Items</t>
  </si>
  <si>
    <t>Cost Per Item</t>
  </si>
  <si>
    <t>% FY effort ---&gt;</t>
  </si>
  <si>
    <t>Project Total</t>
  </si>
  <si>
    <t>Start Date</t>
  </si>
  <si>
    <t>End Date</t>
  </si>
  <si>
    <t>Facilities &amp; Administrative (F&amp;A) Costs</t>
  </si>
  <si>
    <t>Graduate Tuition Remission</t>
  </si>
  <si>
    <t>Less Graduate Tuition Remission</t>
  </si>
  <si>
    <t>Other Direct Costs</t>
  </si>
  <si>
    <t>Foreign Travel:</t>
  </si>
  <si>
    <t>Domestic Travel:</t>
  </si>
  <si>
    <t>Year 1 Total</t>
  </si>
  <si>
    <t>Other Costs (See "Other Costs" Tab)</t>
  </si>
  <si>
    <t>Subtotal-Other Direct Costs</t>
  </si>
  <si>
    <t>Equipment</t>
  </si>
  <si>
    <t>Subtotal-Equipment</t>
  </si>
  <si>
    <t>Equipment #1</t>
  </si>
  <si>
    <t>Equipment #2</t>
  </si>
  <si>
    <t>Equipment #3</t>
  </si>
  <si>
    <t>Participant Support</t>
  </si>
  <si>
    <t>Less Equipment</t>
  </si>
  <si>
    <t>Less Subaward(s) &gt; $25,000</t>
  </si>
  <si>
    <t>Less Participant Support</t>
  </si>
  <si>
    <t>Tuition Remission</t>
  </si>
  <si>
    <t># of Student Employees ---&gt;</t>
  </si>
  <si>
    <t>Hourly Wage</t>
  </si>
  <si>
    <t>Base Salary</t>
  </si>
  <si>
    <t>Period of Performance</t>
  </si>
  <si>
    <t>Subtotal-F&amp;A Costs</t>
  </si>
  <si>
    <t>Other Costs:</t>
  </si>
  <si>
    <t>Ground Trans.</t>
  </si>
  <si>
    <t># of hours per student -----&gt;</t>
  </si>
  <si>
    <t>Note:  This budget has not been formally reviewed and approved by The University of Arizona.  
Rates and amounts included in this budget are subject to change.</t>
  </si>
  <si>
    <t>Year 1 Total for Other Costs</t>
  </si>
  <si>
    <t>Year 2 Total for Other Costs</t>
  </si>
  <si>
    <t>Year 2 Total</t>
  </si>
  <si>
    <t>Year 3 Total</t>
  </si>
  <si>
    <t>Year 4 Total</t>
  </si>
  <si>
    <t>Year 5 Total</t>
  </si>
  <si>
    <t>Year 3 Total for Other Costs</t>
  </si>
  <si>
    <t>Year 4 Total for Other Costs</t>
  </si>
  <si>
    <t>Year 5 Total for Other Costs</t>
  </si>
  <si>
    <t>Year 1 Total for Domestic Travel</t>
  </si>
  <si>
    <t>Year 2 Total for Domestic Travel</t>
  </si>
  <si>
    <t>Year 3 Total for Domestic Travel</t>
  </si>
  <si>
    <t>Year 4 Total for Domestic Travel</t>
  </si>
  <si>
    <t>Year 5 Total for Domestic Travel</t>
  </si>
  <si>
    <t>Year 1 Total for Foreign Travel</t>
  </si>
  <si>
    <t>Year 2 Total for Foreign Travel</t>
  </si>
  <si>
    <t>Year 3 Total for Foreign Travel</t>
  </si>
  <si>
    <t>Year 4 Total for Foreign Travel</t>
  </si>
  <si>
    <t>Year 5 Total for Foreign Travel</t>
  </si>
  <si>
    <t>Description of Item</t>
  </si>
  <si>
    <t>Type of Item</t>
  </si>
  <si>
    <t>Purpose of Trip</t>
  </si>
  <si>
    <t># of Years</t>
  </si>
  <si>
    <t>Actual</t>
  </si>
  <si>
    <t>Appt.</t>
  </si>
  <si>
    <t>Type</t>
  </si>
  <si>
    <t>TBD</t>
  </si>
  <si>
    <t>TBN, Graduate Assistant</t>
  </si>
  <si>
    <t>ERE</t>
  </si>
  <si>
    <t>Subtotal-Subawards</t>
  </si>
  <si>
    <t>Subaward #1 - Direct Costs (Institution/Lead PI)</t>
  </si>
  <si>
    <t>Subaward #1 - Indirect Costs (Institution/Lead PI)</t>
  </si>
  <si>
    <t>Subaward #2 - Direct Costs (Institution/Lead PI)</t>
  </si>
  <si>
    <t>Subaward #2 - Indirect Costs (Institution/Lead PI)</t>
  </si>
  <si>
    <t>NIH Total Direct Costs (Less Subaward Indirect Costs)</t>
  </si>
  <si>
    <t>Destination</t>
  </si>
  <si>
    <t>Cost per Traveler per Trip</t>
  </si>
  <si>
    <t>Subtotal-Direct Labor &amp; Fringe Benefits</t>
  </si>
  <si>
    <t>TOTAL COSTS (TDC + F&amp;A)</t>
  </si>
  <si>
    <t>Other Costs</t>
  </si>
  <si>
    <t>Domestic Travel</t>
  </si>
  <si>
    <t>Foreign Travel</t>
  </si>
  <si>
    <t>Project Title:  (Subaward 1)</t>
  </si>
  <si>
    <t>Nights Per Trip</t>
  </si>
  <si>
    <t>Subaward #3 - Direct Costs (Institution/Lead PI)</t>
  </si>
  <si>
    <t>Subaward #3 - Indirect Costs (Institution/Lead PI)</t>
  </si>
  <si>
    <t>Lodging Per Night</t>
  </si>
  <si>
    <t>Project Title:  (Subaward 2)</t>
  </si>
  <si>
    <t>Project Title:  (Subaward 3)</t>
  </si>
  <si>
    <t>COST SHARE</t>
  </si>
  <si>
    <t>Direct Labor &amp; Fringe Benefits</t>
  </si>
  <si>
    <t>Subtotal - Direct Labor &amp; Fringe Benefits</t>
  </si>
  <si>
    <t>TOTAL COST SHARE</t>
  </si>
  <si>
    <t>Fringe Benefits ---&gt;</t>
  </si>
  <si>
    <t>Academic</t>
  </si>
  <si>
    <t>Title</t>
  </si>
  <si>
    <t>Category of Participant</t>
  </si>
  <si>
    <t>Support Type</t>
  </si>
  <si>
    <t># of Support Items</t>
  </si>
  <si>
    <t>Cost Per Support Item</t>
  </si>
  <si>
    <t>Year 1 Total for Participant Support</t>
  </si>
  <si>
    <t>Year 2 Total for Participant Support</t>
  </si>
  <si>
    <t>Year 3 for Participant Support</t>
  </si>
  <si>
    <t>Year 4 for Participant Support</t>
  </si>
  <si>
    <t>Year 5 Total for Participant Support</t>
  </si>
  <si>
    <t>F&amp;A Rate:</t>
  </si>
  <si>
    <t>MTDC</t>
  </si>
  <si>
    <t>F&amp;A Type:</t>
  </si>
  <si>
    <t>Rate</t>
  </si>
  <si>
    <t>F</t>
  </si>
  <si>
    <t>A</t>
  </si>
  <si>
    <t>Appt. Type</t>
  </si>
  <si>
    <t>Avg. Effort</t>
  </si>
  <si>
    <t>Avg. PM</t>
  </si>
  <si>
    <t>Total Person Months ---&gt;</t>
  </si>
  <si>
    <t>F&amp;A Types</t>
  </si>
  <si>
    <t>F&amp;A Formula</t>
  </si>
  <si>
    <t>TDC</t>
  </si>
  <si>
    <t>TC</t>
  </si>
  <si>
    <t>Materials and Supplies</t>
  </si>
  <si>
    <t>Publication Costs</t>
  </si>
  <si>
    <t>Consultant Services</t>
  </si>
  <si>
    <t>Tuition/Fees/Health Insurance</t>
  </si>
  <si>
    <t xml:space="preserve">Stipends  </t>
  </si>
  <si>
    <t>Subsistence</t>
  </si>
  <si>
    <t>Other</t>
  </si>
  <si>
    <t>Shared Resources</t>
  </si>
  <si>
    <t>Student Workers @</t>
  </si>
  <si>
    <t xml:space="preserve">UA Employees @ </t>
  </si>
  <si>
    <t xml:space="preserve">Faculty - Ancillary @ </t>
  </si>
  <si>
    <t xml:space="preserve">Graduate Assistants @ </t>
  </si>
  <si>
    <t xml:space="preserve">Student Employees @ </t>
  </si>
  <si>
    <t xml:space="preserve">Banner Employees @ </t>
  </si>
  <si>
    <t xml:space="preserve">PCH Employees @ </t>
  </si>
  <si>
    <t xml:space="preserve">Employees @ </t>
  </si>
  <si>
    <t xml:space="preserve">Post-docs @ </t>
  </si>
  <si>
    <t>Annual Tuition Remission:</t>
  </si>
  <si>
    <t>Actual Base Salary</t>
  </si>
  <si>
    <t>Institution/Lead PI</t>
  </si>
  <si>
    <t xml:space="preserve">Salary Cap: </t>
  </si>
  <si>
    <t>Salary Cap:</t>
  </si>
  <si>
    <t>Domestic Travel (See "Travel" Tab, Columns A-L)</t>
  </si>
  <si>
    <t>Foreign Travel (See "Travel" Tab, Columns O-Z)</t>
  </si>
  <si>
    <t>Subtotal-Participant Support</t>
  </si>
  <si>
    <t>Subaward #1 - Total Costs</t>
  </si>
  <si>
    <t>Subaward #2 - Total Costs</t>
  </si>
  <si>
    <t>Subaward #3 - Total Costs</t>
  </si>
  <si>
    <t>Participant Support (See "Participant Support" Tab)</t>
  </si>
  <si>
    <t>UA Minimum Wage (hourly):</t>
  </si>
  <si>
    <t>&lt;-- Annual Increase</t>
  </si>
  <si>
    <t>TBN, Post-doc</t>
  </si>
  <si>
    <t>TBN, Student Worker</t>
  </si>
  <si>
    <t>Subaward #4 - Total Costs</t>
  </si>
  <si>
    <t>Subaward #5 - Total Costs</t>
  </si>
  <si>
    <t>Project Title:  (Subaward 4)</t>
  </si>
  <si>
    <t>Project Title:  (Subaward 5)</t>
  </si>
  <si>
    <t xml:space="preserve">Project Title:  </t>
  </si>
  <si>
    <t>Maximum Annual NIH Direct Costs</t>
  </si>
  <si>
    <r>
      <t xml:space="preserve">Balance </t>
    </r>
    <r>
      <rPr>
        <b/>
        <sz val="12"/>
        <color rgb="FFFF0000"/>
        <rFont val="Times New Roman"/>
        <family val="1"/>
      </rPr>
      <t>OVER</t>
    </r>
    <r>
      <rPr>
        <b/>
        <sz val="12"/>
        <color theme="1"/>
        <rFont val="Times New Roman"/>
        <family val="1"/>
      </rPr>
      <t>/(UNDER)</t>
    </r>
  </si>
  <si>
    <t>Part Time Effort Calculator</t>
  </si>
  <si>
    <t>PTE:</t>
  </si>
  <si>
    <t>Project % Effort:</t>
  </si>
  <si>
    <t>Annualized CM:</t>
  </si>
  <si>
    <t>Annualized % Effort:</t>
  </si>
  <si>
    <t xml:space="preserve">Dignity/St. Joseph's @ </t>
  </si>
  <si>
    <t>COST SHARE BUDGET</t>
  </si>
  <si>
    <t xml:space="preserve">TBD </t>
  </si>
  <si>
    <t>TOTAL COSTS COST SHARE</t>
  </si>
  <si>
    <t>0% Avg. Fiscal Effort, 0 Avg. Calendar Months</t>
  </si>
  <si>
    <t>Fringe benefits @ 31.4%</t>
  </si>
  <si>
    <r>
      <t xml:space="preserve">Add attachment(s) on the </t>
    </r>
    <r>
      <rPr>
        <i/>
        <sz val="12"/>
        <rFont val="Times New Roman"/>
        <family val="1"/>
      </rPr>
      <t>Abstracts &amp; Attachments</t>
    </r>
    <r>
      <rPr>
        <sz val="12"/>
        <rFont val="Times New Roman"/>
        <family val="1"/>
      </rPr>
      <t xml:space="preserve"> tab to document cost share commitments including:</t>
    </r>
  </si>
  <si>
    <t>Detailed budget of what is being cost shared</t>
  </si>
  <si>
    <t>Written commitments for any 3rd-party contributors*</t>
  </si>
  <si>
    <t>*Note: Examples of 3rd-party cost share include: subrecipient cost sharing, non-UA employee volunteer time, external contribution of supplies, consultant waiving of a normal fee</t>
  </si>
  <si>
    <r>
      <t>Enter annual total of cost share on the</t>
    </r>
    <r>
      <rPr>
        <i/>
        <sz val="12"/>
        <rFont val="Times New Roman"/>
        <family val="1"/>
      </rPr>
      <t xml:space="preserve"> Budget Versions &gt; Parameters</t>
    </r>
    <r>
      <rPr>
        <sz val="12"/>
        <rFont val="Times New Roman"/>
        <family val="1"/>
      </rPr>
      <t xml:space="preserve"> tab </t>
    </r>
    <r>
      <rPr>
        <i/>
        <sz val="12"/>
        <rFont val="Times New Roman"/>
        <family val="1"/>
      </rPr>
      <t xml:space="preserve">Cost Sharing </t>
    </r>
    <r>
      <rPr>
        <sz val="12"/>
        <rFont val="Times New Roman"/>
        <family val="1"/>
      </rPr>
      <t xml:space="preserve">column to enable the </t>
    </r>
    <r>
      <rPr>
        <i/>
        <sz val="12"/>
        <rFont val="Times New Roman"/>
        <family val="1"/>
      </rPr>
      <t>Distribution &amp; Income</t>
    </r>
    <r>
      <rPr>
        <sz val="12"/>
        <rFont val="Times New Roman"/>
        <family val="1"/>
      </rPr>
      <t xml:space="preserve"> tab</t>
    </r>
  </si>
  <si>
    <r>
      <t xml:space="preserve">Go to </t>
    </r>
    <r>
      <rPr>
        <i/>
        <sz val="12"/>
        <rFont val="Times New Roman"/>
        <family val="1"/>
      </rPr>
      <t>Distribution &amp; Income</t>
    </r>
    <r>
      <rPr>
        <sz val="12"/>
        <rFont val="Times New Roman"/>
        <family val="1"/>
      </rPr>
      <t xml:space="preserve"> tab, search for</t>
    </r>
    <r>
      <rPr>
        <i/>
        <sz val="12"/>
        <rFont val="Times New Roman"/>
        <family val="1"/>
      </rPr>
      <t xml:space="preserve"> Source Unit(s)</t>
    </r>
    <r>
      <rPr>
        <sz val="12"/>
        <rFont val="Times New Roman"/>
        <family val="1"/>
      </rPr>
      <t xml:space="preserve"> responsible for cost share </t>
    </r>
    <r>
      <rPr>
        <b/>
        <u/>
        <sz val="12"/>
        <rFont val="Times New Roman"/>
        <family val="1"/>
      </rPr>
      <t>*a source unit is required</t>
    </r>
  </si>
  <si>
    <r>
      <t xml:space="preserve">Cost share entered in </t>
    </r>
    <r>
      <rPr>
        <i/>
        <sz val="12"/>
        <rFont val="Times New Roman"/>
        <family val="1"/>
      </rPr>
      <t>Distribution &amp; Income</t>
    </r>
    <r>
      <rPr>
        <sz val="12"/>
        <rFont val="Times New Roman"/>
        <family val="1"/>
      </rPr>
      <t xml:space="preserve"> should match documentation attached on the </t>
    </r>
    <r>
      <rPr>
        <i/>
        <sz val="12"/>
        <rFont val="Times New Roman"/>
        <family val="1"/>
      </rPr>
      <t>Abstracts &amp; Attachments</t>
    </r>
    <r>
      <rPr>
        <sz val="12"/>
        <rFont val="Times New Roman"/>
        <family val="1"/>
      </rPr>
      <t xml:space="preserve"> tab:</t>
    </r>
  </si>
  <si>
    <r>
      <rPr>
        <b/>
        <sz val="12"/>
        <rFont val="Times New Roman"/>
        <family val="1"/>
      </rPr>
      <t>3RDPARTY</t>
    </r>
    <r>
      <rPr>
        <sz val="12"/>
        <rFont val="Times New Roman"/>
        <family val="1"/>
      </rPr>
      <t xml:space="preserve"> if the</t>
    </r>
    <r>
      <rPr>
        <i/>
        <sz val="12"/>
        <rFont val="Times New Roman"/>
        <family val="1"/>
      </rPr>
      <t xml:space="preserve"> Source Unit</t>
    </r>
    <r>
      <rPr>
        <sz val="12"/>
        <rFont val="Times New Roman"/>
        <family val="1"/>
      </rPr>
      <t xml:space="preserve"> entered for any cost share commitment from an </t>
    </r>
    <r>
      <rPr>
        <b/>
        <sz val="12"/>
        <rFont val="Times New Roman"/>
        <family val="1"/>
      </rPr>
      <t xml:space="preserve">entity outside the University </t>
    </r>
  </si>
  <si>
    <t>Subtotal -Fringe Benefits</t>
  </si>
  <si>
    <t>Subtotal -Direct Labor</t>
  </si>
  <si>
    <t>Subtotal -Other Costs</t>
  </si>
  <si>
    <t>Written commitments from University depts., colleges, institutions</t>
  </si>
  <si>
    <r>
      <rPr>
        <b/>
        <sz val="12"/>
        <rFont val="Times New Roman"/>
        <family val="1"/>
      </rPr>
      <t xml:space="preserve">University dept. or college </t>
    </r>
    <r>
      <rPr>
        <sz val="12"/>
        <rFont val="Times New Roman"/>
        <family val="1"/>
      </rPr>
      <t>entries can be searched by code number or name</t>
    </r>
  </si>
  <si>
    <r>
      <rPr>
        <b/>
        <sz val="12"/>
        <rFont val="Times New Roman"/>
        <family val="1"/>
      </rPr>
      <t>RSDV</t>
    </r>
    <r>
      <rPr>
        <sz val="12"/>
        <rFont val="Times New Roman"/>
        <family val="1"/>
      </rPr>
      <t xml:space="preserve"> is the </t>
    </r>
    <r>
      <rPr>
        <i/>
        <sz val="12"/>
        <rFont val="Times New Roman"/>
        <family val="1"/>
      </rPr>
      <t>Source Unit</t>
    </r>
    <r>
      <rPr>
        <sz val="12"/>
        <rFont val="Times New Roman"/>
        <family val="1"/>
      </rPr>
      <t xml:space="preserve"> entered for a commitment from Research, Discovery &amp; Innovation (RDI) or the Vice President for Research </t>
    </r>
  </si>
  <si>
    <r>
      <rPr>
        <b/>
        <sz val="12"/>
        <rFont val="Times New Roman"/>
        <family val="1"/>
      </rPr>
      <t>Unrecovered F&amp;A</t>
    </r>
    <r>
      <rPr>
        <sz val="12"/>
        <rFont val="Times New Roman"/>
        <family val="1"/>
      </rPr>
      <t xml:space="preserve"> cost should indicate "Forgone F&amp;A" as the </t>
    </r>
    <r>
      <rPr>
        <i/>
        <sz val="12"/>
        <rFont val="Times New Roman"/>
        <family val="1"/>
      </rPr>
      <t>Source Account</t>
    </r>
    <r>
      <rPr>
        <sz val="12"/>
        <rFont val="Times New Roman"/>
        <family val="1"/>
      </rPr>
      <t xml:space="preserve"> for each responsible </t>
    </r>
    <r>
      <rPr>
        <i/>
        <sz val="12"/>
        <rFont val="Times New Roman"/>
        <family val="1"/>
      </rPr>
      <t>Source Unit</t>
    </r>
    <r>
      <rPr>
        <sz val="12"/>
        <rFont val="Times New Roman"/>
        <family val="1"/>
      </rPr>
      <t xml:space="preserve">. Unrecovered F&amp;A must be added to </t>
    </r>
    <r>
      <rPr>
        <i/>
        <sz val="12"/>
        <rFont val="Times New Roman"/>
        <family val="1"/>
      </rPr>
      <t>Distribution &amp; Income</t>
    </r>
    <r>
      <rPr>
        <sz val="12"/>
        <rFont val="Times New Roman"/>
        <family val="1"/>
      </rPr>
      <t xml:space="preserve"> when used to meet a mandatory match requirement </t>
    </r>
  </si>
  <si>
    <t>Entering Cost Sharing in UAccess Research:</t>
  </si>
  <si>
    <t>UA Procedures for Cost Share</t>
  </si>
  <si>
    <t>TBD 1  (with cost share)</t>
  </si>
  <si>
    <t>TBD 2 (with cost share)</t>
  </si>
  <si>
    <t>TBD 3 (with cost share)</t>
  </si>
  <si>
    <t>TBD 1 (with cost share)</t>
  </si>
  <si>
    <t>Subaward #4 - Direct Costs (Institution/Lead PI)</t>
  </si>
  <si>
    <t>Subaward #4 - Indirect Costs (Institution/Lead PI)</t>
  </si>
  <si>
    <t>Subaward #5 - Direct Costs (Institution/Lead PI)</t>
  </si>
  <si>
    <t>Subaward #5 - Indirect Costs (Institution/Lead PI)</t>
  </si>
  <si>
    <t>MTDC Subaward Exclusion Amt.</t>
  </si>
  <si>
    <t xml:space="preserve">Ancillary Employees @ </t>
  </si>
  <si>
    <t>Years Experience</t>
  </si>
  <si>
    <t>UA Postdoc Minimum Salary:</t>
  </si>
  <si>
    <t xml:space="preserve">Project Title: </t>
  </si>
  <si>
    <t>Conference Registration</t>
  </si>
  <si>
    <t>Computer Services</t>
  </si>
  <si>
    <t>Rate can be verified via the FDP Expanded Clearinghouse web-based system</t>
  </si>
  <si>
    <t xml:space="preserve">https://fdpclearinghouse.org/ </t>
  </si>
  <si>
    <t>Total Direct Costs (Less Subaward Indirect Costs)</t>
  </si>
  <si>
    <t>Cost Share Account ID</t>
  </si>
  <si>
    <t>Unit Source</t>
  </si>
  <si>
    <t xml:space="preserve">Principal Investigator: </t>
  </si>
  <si>
    <t>NIH FY 2023 Salary Cap</t>
  </si>
  <si>
    <t xml:space="preserve">2023 NRSA Postdoc Stipends (Yrs of Experience): </t>
  </si>
  <si>
    <t>SUBAWARD 1</t>
  </si>
  <si>
    <t>SUBAWARD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</si>
</sst>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&quot;$&quot;* #,##0_);_(&quot;$&quot;* \(#,##0\);_(&quot;$&quot;* &quot;-&quot;??_);_(@_)"/>
    <numFmt numFmtId="167" formatCode="mm/dd/yy;@"/>
    <numFmt numFmtId="168" formatCode="&quot;$&quot;#,##0"/>
    <numFmt numFmtId="169" formatCode="&quot;$&quot;#,##0.00"/>
    <numFmt numFmtId="170" formatCode="0.00000000000%"/>
    <numFmt numFmtId="171" formatCode="&quot;$&quot;#,##0.0_);\(&quot;$&quot;#,##0.0\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u/>
      <sz val="10"/>
      <color theme="10"/>
      <name val="Arial"/>
      <family val="2"/>
    </font>
    <font>
      <b/>
      <sz val="12"/>
      <color rgb="FFFF000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1">
    <xf numFmtId="0" fontId="0" fillId="0" borderId="0" xfId="0"/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6" xfId="0" applyFont="1" applyBorder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0" xfId="2" applyFont="1"/>
    <xf numFmtId="0" fontId="6" fillId="0" borderId="0" xfId="3" applyFont="1"/>
    <xf numFmtId="0" fontId="7" fillId="0" borderId="0" xfId="0" applyFont="1" applyAlignment="1">
      <alignment horizontal="left" indent="1"/>
    </xf>
    <xf numFmtId="41" fontId="5" fillId="0" borderId="0" xfId="0" applyNumberFormat="1" applyFont="1"/>
    <xf numFmtId="165" fontId="6" fillId="2" borderId="0" xfId="1" applyNumberFormat="1" applyFont="1" applyFill="1" applyBorder="1"/>
    <xf numFmtId="10" fontId="6" fillId="2" borderId="0" xfId="5" applyNumberFormat="1" applyFont="1" applyFill="1" applyBorder="1"/>
    <xf numFmtId="43" fontId="6" fillId="0" borderId="0" xfId="0" applyNumberFormat="1" applyFont="1"/>
    <xf numFmtId="0" fontId="6" fillId="0" borderId="0" xfId="0" applyFont="1" applyAlignment="1">
      <alignment horizontal="left" indent="2"/>
    </xf>
    <xf numFmtId="41" fontId="5" fillId="0" borderId="0" xfId="0" applyNumberFormat="1" applyFont="1" applyProtection="1">
      <protection locked="0"/>
    </xf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Alignment="1">
      <alignment horizontal="left"/>
    </xf>
    <xf numFmtId="41" fontId="6" fillId="2" borderId="0" xfId="1" applyNumberFormat="1" applyFont="1" applyFill="1" applyBorder="1"/>
    <xf numFmtId="164" fontId="5" fillId="0" borderId="0" xfId="1" applyNumberFormat="1" applyFont="1" applyBorder="1" applyProtection="1"/>
    <xf numFmtId="164" fontId="5" fillId="0" borderId="0" xfId="1" applyNumberFormat="1" applyFont="1" applyBorder="1"/>
    <xf numFmtId="0" fontId="7" fillId="0" borderId="0" xfId="0" applyFont="1"/>
    <xf numFmtId="0" fontId="6" fillId="0" borderId="0" xfId="0" applyFont="1" applyAlignment="1">
      <alignment wrapText="1"/>
    </xf>
    <xf numFmtId="0" fontId="5" fillId="0" borderId="4" xfId="3" applyFont="1" applyBorder="1"/>
    <xf numFmtId="0" fontId="6" fillId="0" borderId="1" xfId="3" applyFont="1" applyBorder="1"/>
    <xf numFmtId="0" fontId="6" fillId="0" borderId="5" xfId="3" applyFont="1" applyBorder="1"/>
    <xf numFmtId="166" fontId="6" fillId="0" borderId="10" xfId="7" applyNumberFormat="1" applyFont="1" applyBorder="1"/>
    <xf numFmtId="166" fontId="6" fillId="0" borderId="0" xfId="0" applyNumberFormat="1" applyFont="1"/>
    <xf numFmtId="0" fontId="5" fillId="0" borderId="4" xfId="0" applyFont="1" applyBorder="1"/>
    <xf numFmtId="0" fontId="6" fillId="0" borderId="4" xfId="0" applyFont="1" applyBorder="1"/>
    <xf numFmtId="0" fontId="10" fillId="0" borderId="0" xfId="0" applyFont="1" applyAlignment="1">
      <alignment horizontal="left" indent="1"/>
    </xf>
    <xf numFmtId="0" fontId="11" fillId="0" borderId="0" xfId="0" applyFont="1"/>
    <xf numFmtId="0" fontId="9" fillId="0" borderId="0" xfId="0" applyFont="1"/>
    <xf numFmtId="0" fontId="12" fillId="0" borderId="4" xfId="3" applyFont="1" applyBorder="1"/>
    <xf numFmtId="0" fontId="12" fillId="0" borderId="0" xfId="0" applyFont="1"/>
    <xf numFmtId="0" fontId="12" fillId="0" borderId="0" xfId="3" applyFont="1"/>
    <xf numFmtId="0" fontId="5" fillId="0" borderId="7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right" indent="1"/>
    </xf>
    <xf numFmtId="42" fontId="5" fillId="0" borderId="0" xfId="0" applyNumberFormat="1" applyFont="1"/>
    <xf numFmtId="42" fontId="6" fillId="0" borderId="0" xfId="1" applyNumberFormat="1" applyFont="1" applyFill="1"/>
    <xf numFmtId="42" fontId="6" fillId="0" borderId="0" xfId="0" applyNumberFormat="1" applyFont="1"/>
    <xf numFmtId="42" fontId="5" fillId="0" borderId="0" xfId="0" applyNumberFormat="1" applyFont="1" applyProtection="1">
      <protection locked="0"/>
    </xf>
    <xf numFmtId="42" fontId="8" fillId="0" borderId="1" xfId="1" applyNumberFormat="1" applyFont="1" applyFill="1" applyBorder="1"/>
    <xf numFmtId="42" fontId="5" fillId="0" borderId="1" xfId="0" applyNumberFormat="1" applyFont="1" applyBorder="1"/>
    <xf numFmtId="42" fontId="6" fillId="0" borderId="0" xfId="1" applyNumberFormat="1" applyFont="1"/>
    <xf numFmtId="42" fontId="5" fillId="0" borderId="1" xfId="1" applyNumberFormat="1" applyFont="1" applyBorder="1" applyProtection="1"/>
    <xf numFmtId="42" fontId="11" fillId="0" borderId="0" xfId="0" applyNumberFormat="1" applyFont="1"/>
    <xf numFmtId="42" fontId="11" fillId="0" borderId="1" xfId="1" applyNumberFormat="1" applyFont="1" applyBorder="1" applyProtection="1"/>
    <xf numFmtId="42" fontId="11" fillId="0" borderId="1" xfId="0" applyNumberFormat="1" applyFont="1" applyBorder="1"/>
    <xf numFmtId="42" fontId="5" fillId="0" borderId="2" xfId="1" applyNumberFormat="1" applyFont="1" applyBorder="1" applyProtection="1"/>
    <xf numFmtId="42" fontId="5" fillId="0" borderId="2" xfId="0" applyNumberFormat="1" applyFont="1" applyBorder="1"/>
    <xf numFmtId="42" fontId="5" fillId="0" borderId="0" xfId="1" applyNumberFormat="1" applyFont="1" applyFill="1" applyBorder="1"/>
    <xf numFmtId="42" fontId="5" fillId="0" borderId="0" xfId="1" applyNumberFormat="1" applyFont="1" applyBorder="1"/>
    <xf numFmtId="42" fontId="6" fillId="0" borderId="0" xfId="1" applyNumberFormat="1" applyFont="1" applyFill="1" applyBorder="1"/>
    <xf numFmtId="42" fontId="5" fillId="0" borderId="1" xfId="1" applyNumberFormat="1" applyFont="1" applyFill="1" applyBorder="1" applyProtection="1"/>
    <xf numFmtId="42" fontId="9" fillId="0" borderId="0" xfId="1" applyNumberFormat="1" applyFont="1" applyFill="1" applyBorder="1"/>
    <xf numFmtId="42" fontId="9" fillId="0" borderId="0" xfId="1" applyNumberFormat="1" applyFont="1" applyFill="1"/>
    <xf numFmtId="42" fontId="5" fillId="0" borderId="0" xfId="1" applyNumberFormat="1" applyFont="1" applyBorder="1" applyProtection="1"/>
    <xf numFmtId="42" fontId="9" fillId="0" borderId="0" xfId="1" applyNumberFormat="1" applyFont="1"/>
    <xf numFmtId="42" fontId="9" fillId="0" borderId="0" xfId="0" applyNumberFormat="1" applyFont="1"/>
    <xf numFmtId="42" fontId="11" fillId="0" borderId="0" xfId="1" applyNumberFormat="1" applyFont="1" applyProtection="1"/>
    <xf numFmtId="42" fontId="5" fillId="0" borderId="0" xfId="1" applyNumberFormat="1" applyFont="1"/>
    <xf numFmtId="0" fontId="6" fillId="0" borderId="0" xfId="3" applyFont="1" applyAlignment="1">
      <alignment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/>
    </xf>
    <xf numFmtId="166" fontId="5" fillId="0" borderId="16" xfId="7" applyNumberFormat="1" applyFont="1" applyBorder="1"/>
    <xf numFmtId="0" fontId="5" fillId="0" borderId="10" xfId="3" applyFont="1" applyBorder="1" applyAlignment="1">
      <alignment wrapText="1"/>
    </xf>
    <xf numFmtId="0" fontId="5" fillId="0" borderId="10" xfId="3" applyFont="1" applyBorder="1" applyAlignment="1">
      <alignment horizontal="center" wrapText="1"/>
    </xf>
    <xf numFmtId="0" fontId="5" fillId="0" borderId="10" xfId="3" applyFont="1" applyBorder="1" applyAlignment="1">
      <alignment horizontal="left"/>
    </xf>
    <xf numFmtId="168" fontId="5" fillId="0" borderId="0" xfId="0" applyNumberFormat="1" applyFont="1"/>
    <xf numFmtId="168" fontId="6" fillId="0" borderId="0" xfId="0" applyNumberFormat="1" applyFont="1"/>
    <xf numFmtId="10" fontId="6" fillId="0" borderId="3" xfId="4" applyNumberFormat="1" applyFont="1" applyFill="1" applyBorder="1"/>
    <xf numFmtId="0" fontId="6" fillId="0" borderId="0" xfId="0" applyFont="1" applyAlignment="1">
      <alignment horizontal="center"/>
    </xf>
    <xf numFmtId="42" fontId="9" fillId="0" borderId="0" xfId="1" applyNumberFormat="1" applyFont="1" applyProtection="1"/>
    <xf numFmtId="0" fontId="6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166" fontId="6" fillId="0" borderId="10" xfId="7" applyNumberFormat="1" applyFont="1" applyBorder="1" applyAlignment="1">
      <alignment vertical="center"/>
    </xf>
    <xf numFmtId="0" fontId="5" fillId="0" borderId="5" xfId="2" applyFont="1" applyBorder="1" applyAlignment="1">
      <alignment horizontal="center"/>
    </xf>
    <xf numFmtId="42" fontId="9" fillId="0" borderId="0" xfId="1" applyNumberFormat="1" applyFont="1" applyBorder="1" applyAlignment="1" applyProtection="1">
      <alignment vertical="center"/>
    </xf>
    <xf numFmtId="0" fontId="10" fillId="0" borderId="0" xfId="0" applyFont="1" applyAlignment="1">
      <alignment horizontal="left" vertical="center" indent="1"/>
    </xf>
    <xf numFmtId="41" fontId="9" fillId="0" borderId="0" xfId="1" applyNumberFormat="1" applyFont="1" applyFill="1" applyBorder="1"/>
    <xf numFmtId="0" fontId="6" fillId="0" borderId="6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42" fontId="9" fillId="0" borderId="0" xfId="1" applyNumberFormat="1" applyFont="1" applyFill="1" applyProtection="1"/>
    <xf numFmtId="42" fontId="11" fillId="3" borderId="2" xfId="1" applyNumberFormat="1" applyFont="1" applyFill="1" applyBorder="1" applyProtection="1"/>
    <xf numFmtId="42" fontId="5" fillId="3" borderId="2" xfId="1" applyNumberFormat="1" applyFont="1" applyFill="1" applyBorder="1" applyProtection="1"/>
    <xf numFmtId="0" fontId="8" fillId="0" borderId="0" xfId="0" applyFont="1" applyAlignment="1">
      <alignment horizontal="right" inden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 applyAlignment="1">
      <alignment horizontal="left" indent="1"/>
    </xf>
    <xf numFmtId="42" fontId="6" fillId="5" borderId="0" xfId="1" applyNumberFormat="1" applyFont="1" applyFill="1"/>
    <xf numFmtId="42" fontId="5" fillId="5" borderId="0" xfId="0" applyNumberFormat="1" applyFont="1" applyFill="1"/>
    <xf numFmtId="0" fontId="10" fillId="5" borderId="0" xfId="0" applyFont="1" applyFill="1" applyAlignment="1">
      <alignment horizontal="left" vertical="center" indent="1"/>
    </xf>
    <xf numFmtId="0" fontId="5" fillId="5" borderId="2" xfId="0" applyFont="1" applyFill="1" applyBorder="1" applyAlignment="1">
      <alignment vertical="center"/>
    </xf>
    <xf numFmtId="42" fontId="5" fillId="5" borderId="2" xfId="1" applyNumberFormat="1" applyFont="1" applyFill="1" applyBorder="1" applyProtection="1"/>
    <xf numFmtId="0" fontId="5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  <xf numFmtId="41" fontId="6" fillId="0" borderId="0" xfId="0" applyNumberFormat="1" applyFont="1"/>
    <xf numFmtId="41" fontId="6" fillId="0" borderId="0" xfId="1" applyNumberFormat="1" applyFont="1" applyFill="1" applyBorder="1"/>
    <xf numFmtId="0" fontId="1" fillId="0" borderId="0" xfId="3"/>
    <xf numFmtId="0" fontId="5" fillId="0" borderId="10" xfId="3" applyFont="1" applyBorder="1" applyAlignment="1">
      <alignment horizontal="center" vertical="center"/>
    </xf>
    <xf numFmtId="166" fontId="6" fillId="0" borderId="10" xfId="9" applyNumberFormat="1" applyFont="1" applyBorder="1" applyAlignment="1"/>
    <xf numFmtId="166" fontId="6" fillId="0" borderId="10" xfId="9" applyNumberFormat="1" applyFont="1" applyBorder="1" applyAlignment="1">
      <alignment vertical="center"/>
    </xf>
    <xf numFmtId="166" fontId="5" fillId="0" borderId="16" xfId="9" applyNumberFormat="1" applyFont="1" applyBorder="1"/>
    <xf numFmtId="166" fontId="5" fillId="0" borderId="16" xfId="9" applyNumberFormat="1" applyFont="1" applyBorder="1" applyAlignment="1"/>
    <xf numFmtId="166" fontId="6" fillId="0" borderId="10" xfId="9" applyNumberFormat="1" applyFont="1" applyBorder="1"/>
    <xf numFmtId="0" fontId="8" fillId="0" borderId="0" xfId="3" applyFont="1" applyAlignment="1">
      <alignment horizontal="right" indent="1"/>
    </xf>
    <xf numFmtId="166" fontId="6" fillId="0" borderId="0" xfId="3" applyNumberFormat="1" applyFont="1"/>
    <xf numFmtId="0" fontId="5" fillId="0" borderId="0" xfId="0" applyFont="1" applyAlignment="1">
      <alignment horizontal="right"/>
    </xf>
    <xf numFmtId="5" fontId="6" fillId="0" borderId="7" xfId="0" applyNumberFormat="1" applyFont="1" applyBorder="1"/>
    <xf numFmtId="0" fontId="6" fillId="0" borderId="7" xfId="0" applyFont="1" applyBorder="1"/>
    <xf numFmtId="166" fontId="6" fillId="0" borderId="0" xfId="4" applyNumberFormat="1" applyFont="1" applyFill="1" applyBorder="1"/>
    <xf numFmtId="9" fontId="6" fillId="0" borderId="0" xfId="4" applyFont="1" applyFill="1" applyAlignment="1">
      <alignment horizontal="center"/>
    </xf>
    <xf numFmtId="10" fontId="5" fillId="0" borderId="0" xfId="4" applyNumberFormat="1" applyFont="1" applyAlignment="1">
      <alignment horizontal="right"/>
    </xf>
    <xf numFmtId="167" fontId="6" fillId="0" borderId="0" xfId="0" applyNumberFormat="1" applyFont="1"/>
    <xf numFmtId="0" fontId="5" fillId="0" borderId="0" xfId="2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3" applyNumberFormat="1" applyFont="1" applyAlignment="1">
      <alignment horizontal="right"/>
    </xf>
    <xf numFmtId="0" fontId="6" fillId="0" borderId="0" xfId="3" applyFont="1" applyAlignment="1">
      <alignment horizontal="right"/>
    </xf>
    <xf numFmtId="44" fontId="6" fillId="0" borderId="0" xfId="0" applyNumberFormat="1" applyFont="1" applyAlignment="1">
      <alignment horizontal="right"/>
    </xf>
    <xf numFmtId="169" fontId="6" fillId="0" borderId="0" xfId="0" applyNumberFormat="1" applyFont="1"/>
    <xf numFmtId="170" fontId="6" fillId="0" borderId="0" xfId="0" applyNumberFormat="1" applyFont="1"/>
    <xf numFmtId="9" fontId="6" fillId="0" borderId="0" xfId="4" applyFont="1" applyFill="1"/>
    <xf numFmtId="0" fontId="6" fillId="0" borderId="0" xfId="4" applyNumberFormat="1" applyFont="1" applyAlignment="1">
      <alignment horizontal="right"/>
    </xf>
    <xf numFmtId="42" fontId="6" fillId="0" borderId="0" xfId="1" applyNumberFormat="1" applyFont="1" applyFill="1" applyProtection="1"/>
    <xf numFmtId="166" fontId="6" fillId="0" borderId="3" xfId="4" applyNumberFormat="1" applyFont="1" applyFill="1" applyBorder="1"/>
    <xf numFmtId="41" fontId="6" fillId="0" borderId="7" xfId="1" applyNumberFormat="1" applyFont="1" applyFill="1" applyBorder="1"/>
    <xf numFmtId="5" fontId="6" fillId="0" borderId="9" xfId="0" applyNumberFormat="1" applyFont="1" applyBorder="1"/>
    <xf numFmtId="42" fontId="6" fillId="0" borderId="3" xfId="5" applyNumberFormat="1" applyFont="1" applyFill="1" applyBorder="1"/>
    <xf numFmtId="0" fontId="5" fillId="0" borderId="8" xfId="0" applyFont="1" applyBorder="1" applyAlignment="1">
      <alignment horizontal="right" indent="1"/>
    </xf>
    <xf numFmtId="169" fontId="6" fillId="0" borderId="7" xfId="1" applyNumberFormat="1" applyFont="1" applyFill="1" applyBorder="1"/>
    <xf numFmtId="168" fontId="6" fillId="2" borderId="3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6" xfId="0" applyFont="1" applyBorder="1" applyAlignment="1">
      <alignment horizontal="right"/>
    </xf>
    <xf numFmtId="10" fontId="5" fillId="0" borderId="0" xfId="4" applyNumberFormat="1" applyFont="1" applyAlignment="1">
      <alignment horizontal="center"/>
    </xf>
    <xf numFmtId="10" fontId="6" fillId="0" borderId="0" xfId="4" applyNumberFormat="1" applyFont="1" applyAlignment="1">
      <alignment horizontal="center"/>
    </xf>
    <xf numFmtId="10" fontId="6" fillId="0" borderId="0" xfId="4" applyNumberFormat="1" applyFont="1"/>
    <xf numFmtId="10" fontId="0" fillId="0" borderId="0" xfId="4" applyNumberFormat="1" applyFont="1"/>
    <xf numFmtId="10" fontId="6" fillId="0" borderId="0" xfId="4" applyNumberFormat="1" applyFont="1" applyFill="1" applyAlignment="1">
      <alignment horizontal="center"/>
    </xf>
    <xf numFmtId="10" fontId="6" fillId="0" borderId="0" xfId="4" applyNumberFormat="1" applyFont="1" applyFill="1"/>
    <xf numFmtId="0" fontId="6" fillId="0" borderId="3" xfId="0" applyFont="1" applyBorder="1" applyAlignment="1">
      <alignment horizontal="right"/>
    </xf>
    <xf numFmtId="169" fontId="6" fillId="2" borderId="3" xfId="0" applyNumberFormat="1" applyFont="1" applyFill="1" applyBorder="1"/>
    <xf numFmtId="2" fontId="5" fillId="0" borderId="0" xfId="0" applyNumberFormat="1" applyFont="1" applyAlignment="1">
      <alignment horizontal="center"/>
    </xf>
    <xf numFmtId="166" fontId="6" fillId="0" borderId="3" xfId="5" applyNumberFormat="1" applyFont="1" applyFill="1" applyBorder="1"/>
    <xf numFmtId="0" fontId="6" fillId="0" borderId="1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0" xfId="3" applyFont="1"/>
    <xf numFmtId="164" fontId="5" fillId="0" borderId="0" xfId="3" applyNumberFormat="1" applyFont="1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0" xfId="3" applyFont="1" applyAlignment="1">
      <alignment horizontal="right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6" xfId="3" applyFont="1" applyBorder="1" applyAlignment="1">
      <alignment horizontal="right" indent="1"/>
    </xf>
    <xf numFmtId="0" fontId="5" fillId="0" borderId="6" xfId="3" applyFont="1" applyBorder="1"/>
    <xf numFmtId="0" fontId="5" fillId="0" borderId="3" xfId="3" applyFont="1" applyBorder="1" applyAlignment="1">
      <alignment horizontal="center" wrapText="1"/>
    </xf>
    <xf numFmtId="0" fontId="5" fillId="0" borderId="3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2" fontId="6" fillId="0" borderId="0" xfId="3" applyNumberFormat="1" applyFont="1" applyAlignment="1">
      <alignment horizontal="center"/>
    </xf>
    <xf numFmtId="42" fontId="5" fillId="0" borderId="0" xfId="3" applyNumberFormat="1" applyFont="1"/>
    <xf numFmtId="168" fontId="5" fillId="0" borderId="0" xfId="3" applyNumberFormat="1" applyFont="1"/>
    <xf numFmtId="0" fontId="6" fillId="0" borderId="0" xfId="3" applyFont="1" applyAlignment="1">
      <alignment horizontal="left"/>
    </xf>
    <xf numFmtId="42" fontId="6" fillId="0" borderId="0" xfId="3" applyNumberFormat="1" applyFont="1"/>
    <xf numFmtId="0" fontId="6" fillId="0" borderId="6" xfId="3" applyFont="1" applyBorder="1" applyAlignment="1">
      <alignment horizontal="right" indent="1"/>
    </xf>
    <xf numFmtId="168" fontId="6" fillId="0" borderId="0" xfId="3" applyNumberFormat="1" applyFont="1"/>
    <xf numFmtId="0" fontId="7" fillId="0" borderId="0" xfId="3" applyFont="1" applyAlignment="1">
      <alignment horizontal="left" indent="1"/>
    </xf>
    <xf numFmtId="41" fontId="5" fillId="0" borderId="0" xfId="3" applyNumberFormat="1" applyFont="1"/>
    <xf numFmtId="0" fontId="6" fillId="0" borderId="0" xfId="5" applyNumberFormat="1" applyFont="1" applyAlignment="1">
      <alignment horizontal="right"/>
    </xf>
    <xf numFmtId="0" fontId="6" fillId="0" borderId="0" xfId="3" applyFont="1" applyAlignment="1">
      <alignment horizontal="left" indent="2"/>
    </xf>
    <xf numFmtId="42" fontId="5" fillId="0" borderId="0" xfId="3" applyNumberFormat="1" applyFont="1" applyProtection="1">
      <protection locked="0"/>
    </xf>
    <xf numFmtId="41" fontId="5" fillId="0" borderId="0" xfId="3" applyNumberFormat="1" applyFont="1" applyProtection="1">
      <protection locked="0"/>
    </xf>
    <xf numFmtId="9" fontId="6" fillId="0" borderId="0" xfId="5" applyFont="1" applyFill="1" applyAlignment="1">
      <alignment horizontal="center"/>
    </xf>
    <xf numFmtId="0" fontId="6" fillId="0" borderId="8" xfId="3" applyFont="1" applyBorder="1" applyAlignment="1">
      <alignment horizontal="right"/>
    </xf>
    <xf numFmtId="0" fontId="6" fillId="0" borderId="4" xfId="3" applyFont="1" applyBorder="1"/>
    <xf numFmtId="0" fontId="6" fillId="0" borderId="8" xfId="3" applyFont="1" applyBorder="1" applyAlignment="1">
      <alignment horizontal="right" indent="1"/>
    </xf>
    <xf numFmtId="0" fontId="6" fillId="0" borderId="6" xfId="3" applyFont="1" applyBorder="1"/>
    <xf numFmtId="43" fontId="6" fillId="0" borderId="0" xfId="3" applyNumberFormat="1" applyFont="1"/>
    <xf numFmtId="0" fontId="6" fillId="0" borderId="8" xfId="3" applyFont="1" applyBorder="1"/>
    <xf numFmtId="0" fontId="5" fillId="0" borderId="1" xfId="3" applyFont="1" applyBorder="1" applyAlignment="1">
      <alignment vertical="center"/>
    </xf>
    <xf numFmtId="42" fontId="11" fillId="0" borderId="0" xfId="3" applyNumberFormat="1" applyFont="1"/>
    <xf numFmtId="9" fontId="6" fillId="0" borderId="0" xfId="5" applyFont="1" applyFill="1"/>
    <xf numFmtId="42" fontId="11" fillId="0" borderId="1" xfId="3" applyNumberFormat="1" applyFont="1" applyBorder="1"/>
    <xf numFmtId="0" fontId="5" fillId="0" borderId="2" xfId="3" applyFont="1" applyBorder="1" applyAlignment="1">
      <alignment vertical="center"/>
    </xf>
    <xf numFmtId="42" fontId="5" fillId="0" borderId="2" xfId="3" applyNumberFormat="1" applyFont="1" applyBorder="1"/>
    <xf numFmtId="0" fontId="5" fillId="0" borderId="0" xfId="3" applyFont="1" applyAlignment="1">
      <alignment horizontal="left" vertical="center"/>
    </xf>
    <xf numFmtId="0" fontId="10" fillId="0" borderId="0" xfId="3" applyFont="1" applyAlignment="1">
      <alignment horizontal="left" indent="1"/>
    </xf>
    <xf numFmtId="0" fontId="11" fillId="0" borderId="0" xfId="3" applyFont="1" applyAlignment="1">
      <alignment vertical="center"/>
    </xf>
    <xf numFmtId="0" fontId="8" fillId="0" borderId="0" xfId="3" applyFont="1" applyAlignment="1">
      <alignment horizontal="right" vertical="center"/>
    </xf>
    <xf numFmtId="42" fontId="5" fillId="0" borderId="1" xfId="3" applyNumberFormat="1" applyFont="1" applyBorder="1"/>
    <xf numFmtId="0" fontId="11" fillId="0" borderId="0" xfId="3" applyFont="1"/>
    <xf numFmtId="0" fontId="11" fillId="0" borderId="1" xfId="3" applyFont="1" applyBorder="1" applyAlignment="1">
      <alignment vertical="center"/>
    </xf>
    <xf numFmtId="0" fontId="9" fillId="0" borderId="0" xfId="3" applyFont="1"/>
    <xf numFmtId="0" fontId="11" fillId="3" borderId="2" xfId="3" applyFont="1" applyFill="1" applyBorder="1" applyAlignment="1">
      <alignment vertical="center"/>
    </xf>
    <xf numFmtId="0" fontId="10" fillId="0" borderId="0" xfId="3" applyFont="1" applyAlignment="1">
      <alignment horizontal="left" vertical="center" indent="1"/>
    </xf>
    <xf numFmtId="0" fontId="7" fillId="0" borderId="0" xfId="3" applyFont="1"/>
    <xf numFmtId="44" fontId="6" fillId="0" borderId="0" xfId="3" applyNumberFormat="1" applyFont="1" applyAlignment="1">
      <alignment horizontal="right"/>
    </xf>
    <xf numFmtId="10" fontId="5" fillId="0" borderId="0" xfId="5" applyNumberFormat="1" applyFont="1" applyAlignment="1">
      <alignment horizontal="right"/>
    </xf>
    <xf numFmtId="170" fontId="6" fillId="0" borderId="0" xfId="3" applyNumberFormat="1" applyFont="1"/>
    <xf numFmtId="0" fontId="6" fillId="0" borderId="0" xfId="3" applyFont="1" applyAlignment="1">
      <alignment wrapText="1"/>
    </xf>
    <xf numFmtId="168" fontId="6" fillId="0" borderId="0" xfId="0" applyNumberFormat="1" applyFont="1" applyAlignment="1">
      <alignment horizontal="right"/>
    </xf>
    <xf numFmtId="5" fontId="6" fillId="0" borderId="10" xfId="7" applyNumberFormat="1" applyFont="1" applyFill="1" applyBorder="1" applyAlignment="1">
      <alignment vertical="center"/>
    </xf>
    <xf numFmtId="42" fontId="5" fillId="0" borderId="0" xfId="1" applyNumberFormat="1" applyFont="1" applyFill="1" applyBorder="1" applyProtection="1"/>
    <xf numFmtId="0" fontId="11" fillId="5" borderId="0" xfId="0" applyFont="1" applyFill="1" applyAlignment="1">
      <alignment horizontal="right" vertical="center"/>
    </xf>
    <xf numFmtId="6" fontId="5" fillId="5" borderId="0" xfId="1" applyNumberFormat="1" applyFont="1" applyFill="1" applyBorder="1" applyProtection="1"/>
    <xf numFmtId="42" fontId="5" fillId="5" borderId="0" xfId="1" applyNumberFormat="1" applyFont="1" applyFill="1" applyBorder="1" applyProtection="1"/>
    <xf numFmtId="0" fontId="11" fillId="4" borderId="0" xfId="0" applyFont="1" applyFill="1" applyAlignment="1">
      <alignment horizontal="right" vertical="center"/>
    </xf>
    <xf numFmtId="42" fontId="5" fillId="4" borderId="0" xfId="1" applyNumberFormat="1" applyFont="1" applyFill="1" applyBorder="1" applyProtection="1"/>
    <xf numFmtId="9" fontId="5" fillId="0" borderId="0" xfId="4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9" fontId="6" fillId="2" borderId="0" xfId="5" applyFont="1" applyFill="1" applyBorder="1"/>
    <xf numFmtId="9" fontId="5" fillId="0" borderId="0" xfId="5" applyFont="1"/>
    <xf numFmtId="10" fontId="5" fillId="0" borderId="0" xfId="5" applyNumberFormat="1" applyFont="1" applyAlignment="1">
      <alignment horizontal="center"/>
    </xf>
    <xf numFmtId="10" fontId="6" fillId="0" borderId="0" xfId="5" applyNumberFormat="1" applyFont="1" applyAlignment="1">
      <alignment horizontal="center"/>
    </xf>
    <xf numFmtId="10" fontId="6" fillId="0" borderId="0" xfId="5" applyNumberFormat="1" applyFont="1" applyFill="1" applyBorder="1"/>
    <xf numFmtId="165" fontId="6" fillId="0" borderId="0" xfId="1" applyNumberFormat="1" applyFont="1" applyFill="1" applyBorder="1"/>
    <xf numFmtId="168" fontId="6" fillId="0" borderId="3" xfId="0" applyNumberFormat="1" applyFont="1" applyBorder="1"/>
    <xf numFmtId="10" fontId="6" fillId="0" borderId="3" xfId="5" applyNumberFormat="1" applyFont="1" applyFill="1" applyBorder="1" applyAlignment="1">
      <alignment horizontal="center"/>
    </xf>
    <xf numFmtId="10" fontId="6" fillId="2" borderId="3" xfId="5" applyNumberFormat="1" applyFont="1" applyFill="1" applyBorder="1" applyAlignment="1">
      <alignment horizontal="center"/>
    </xf>
    <xf numFmtId="166" fontId="6" fillId="0" borderId="0" xfId="1" applyNumberFormat="1" applyFont="1" applyFill="1"/>
    <xf numFmtId="10" fontId="6" fillId="0" borderId="0" xfId="5" applyNumberFormat="1" applyFont="1" applyFill="1" applyAlignment="1">
      <alignment horizontal="center"/>
    </xf>
    <xf numFmtId="0" fontId="6" fillId="0" borderId="0" xfId="5" applyNumberFormat="1" applyFont="1" applyFill="1" applyAlignment="1">
      <alignment horizontal="right"/>
    </xf>
    <xf numFmtId="10" fontId="6" fillId="0" borderId="0" xfId="5" applyNumberFormat="1" applyFont="1" applyFill="1"/>
    <xf numFmtId="10" fontId="0" fillId="0" borderId="0" xfId="5" applyNumberFormat="1" applyFont="1" applyFill="1"/>
    <xf numFmtId="10" fontId="6" fillId="0" borderId="0" xfId="5" applyNumberFormat="1" applyFont="1"/>
    <xf numFmtId="42" fontId="6" fillId="5" borderId="0" xfId="1" applyNumberFormat="1" applyFont="1" applyFill="1" applyBorder="1"/>
    <xf numFmtId="166" fontId="5" fillId="5" borderId="0" xfId="9" applyNumberFormat="1" applyFont="1" applyFill="1" applyBorder="1"/>
    <xf numFmtId="0" fontId="11" fillId="5" borderId="1" xfId="0" applyFont="1" applyFill="1" applyBorder="1" applyAlignment="1">
      <alignment horizontal="left" vertical="center"/>
    </xf>
    <xf numFmtId="42" fontId="5" fillId="5" borderId="1" xfId="1" applyNumberFormat="1" applyFont="1" applyFill="1" applyBorder="1"/>
    <xf numFmtId="166" fontId="5" fillId="5" borderId="1" xfId="9" applyNumberFormat="1" applyFont="1" applyFill="1" applyBorder="1"/>
    <xf numFmtId="166" fontId="5" fillId="5" borderId="3" xfId="9" applyNumberFormat="1" applyFont="1" applyFill="1" applyBorder="1"/>
    <xf numFmtId="171" fontId="6" fillId="0" borderId="0" xfId="0" applyNumberFormat="1" applyFont="1"/>
    <xf numFmtId="168" fontId="6" fillId="0" borderId="7" xfId="1" applyNumberFormat="1" applyFont="1" applyFill="1" applyBorder="1"/>
    <xf numFmtId="10" fontId="6" fillId="0" borderId="0" xfId="4" applyNumberFormat="1" applyFont="1" applyFill="1" applyBorder="1" applyAlignment="1">
      <alignment horizontal="center"/>
    </xf>
    <xf numFmtId="0" fontId="15" fillId="0" borderId="1" xfId="8" applyFont="1" applyBorder="1" applyAlignment="1">
      <alignment horizontal="right"/>
    </xf>
    <xf numFmtId="167" fontId="6" fillId="6" borderId="0" xfId="0" applyNumberFormat="1" applyFont="1" applyFill="1"/>
    <xf numFmtId="167" fontId="6" fillId="6" borderId="7" xfId="0" applyNumberFormat="1" applyFont="1" applyFill="1" applyBorder="1"/>
    <xf numFmtId="9" fontId="6" fillId="6" borderId="7" xfId="5" applyFont="1" applyFill="1" applyBorder="1"/>
    <xf numFmtId="10" fontId="6" fillId="6" borderId="0" xfId="5" applyNumberFormat="1" applyFont="1" applyFill="1" applyBorder="1"/>
    <xf numFmtId="165" fontId="6" fillId="6" borderId="0" xfId="1" applyNumberFormat="1" applyFont="1" applyFill="1" applyBorder="1"/>
    <xf numFmtId="166" fontId="5" fillId="6" borderId="1" xfId="7" applyNumberFormat="1" applyFont="1" applyFill="1" applyBorder="1" applyAlignment="1">
      <alignment horizontal="center"/>
    </xf>
    <xf numFmtId="168" fontId="5" fillId="6" borderId="0" xfId="0" applyNumberFormat="1" applyFont="1" applyFill="1" applyAlignment="1">
      <alignment horizontal="right"/>
    </xf>
    <xf numFmtId="8" fontId="5" fillId="6" borderId="17" xfId="0" applyNumberFormat="1" applyFont="1" applyFill="1" applyBorder="1"/>
    <xf numFmtId="9" fontId="5" fillId="6" borderId="0" xfId="4" applyFont="1" applyFill="1" applyBorder="1"/>
    <xf numFmtId="2" fontId="5" fillId="6" borderId="0" xfId="4" applyNumberFormat="1" applyFont="1" applyFill="1" applyBorder="1" applyAlignment="1">
      <alignment horizontal="center"/>
    </xf>
    <xf numFmtId="168" fontId="6" fillId="6" borderId="3" xfId="0" applyNumberFormat="1" applyFont="1" applyFill="1" applyBorder="1"/>
    <xf numFmtId="0" fontId="6" fillId="6" borderId="3" xfId="0" applyFont="1" applyFill="1" applyBorder="1" applyAlignment="1">
      <alignment horizontal="center"/>
    </xf>
    <xf numFmtId="10" fontId="6" fillId="6" borderId="3" xfId="4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41" fontId="6" fillId="6" borderId="0" xfId="1" applyNumberFormat="1" applyFont="1" applyFill="1" applyBorder="1"/>
    <xf numFmtId="169" fontId="6" fillId="6" borderId="3" xfId="0" applyNumberFormat="1" applyFont="1" applyFill="1" applyBorder="1"/>
    <xf numFmtId="0" fontId="6" fillId="6" borderId="0" xfId="0" applyFont="1" applyFill="1" applyAlignment="1">
      <alignment horizontal="right"/>
    </xf>
    <xf numFmtId="10" fontId="6" fillId="6" borderId="0" xfId="4" applyNumberFormat="1" applyFont="1" applyFill="1"/>
    <xf numFmtId="0" fontId="7" fillId="6" borderId="0" xfId="0" applyFont="1" applyFill="1" applyAlignment="1">
      <alignment horizontal="left" indent="1"/>
    </xf>
    <xf numFmtId="42" fontId="6" fillId="6" borderId="0" xfId="0" applyNumberFormat="1" applyFont="1" applyFill="1"/>
    <xf numFmtId="166" fontId="6" fillId="6" borderId="0" xfId="0" applyNumberFormat="1" applyFont="1" applyFill="1"/>
    <xf numFmtId="0" fontId="5" fillId="7" borderId="2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42" fontId="6" fillId="8" borderId="0" xfId="0" applyNumberFormat="1" applyFont="1" applyFill="1"/>
    <xf numFmtId="42" fontId="5" fillId="8" borderId="0" xfId="0" applyNumberFormat="1" applyFont="1" applyFill="1"/>
    <xf numFmtId="42" fontId="6" fillId="8" borderId="0" xfId="1" applyNumberFormat="1" applyFont="1" applyFill="1"/>
    <xf numFmtId="0" fontId="5" fillId="8" borderId="2" xfId="0" applyFont="1" applyFill="1" applyBorder="1" applyAlignment="1">
      <alignment vertical="center"/>
    </xf>
    <xf numFmtId="42" fontId="5" fillId="8" borderId="2" xfId="1" applyNumberFormat="1" applyFont="1" applyFill="1" applyBorder="1" applyProtection="1"/>
    <xf numFmtId="166" fontId="5" fillId="8" borderId="2" xfId="7" applyNumberFormat="1" applyFont="1" applyFill="1" applyBorder="1"/>
    <xf numFmtId="0" fontId="6" fillId="8" borderId="0" xfId="0" applyFont="1" applyFill="1" applyAlignment="1">
      <alignment horizontal="left"/>
    </xf>
    <xf numFmtId="0" fontId="6" fillId="6" borderId="10" xfId="3" applyFont="1" applyFill="1" applyBorder="1" applyAlignment="1">
      <alignment vertical="center" wrapText="1"/>
    </xf>
    <xf numFmtId="0" fontId="6" fillId="6" borderId="10" xfId="3" applyFont="1" applyFill="1" applyBorder="1" applyAlignment="1">
      <alignment horizontal="center" vertical="center"/>
    </xf>
    <xf numFmtId="0" fontId="6" fillId="6" borderId="10" xfId="3" applyFont="1" applyFill="1" applyBorder="1" applyAlignment="1">
      <alignment vertical="center"/>
    </xf>
    <xf numFmtId="0" fontId="6" fillId="6" borderId="10" xfId="3" applyFont="1" applyFill="1" applyBorder="1"/>
    <xf numFmtId="0" fontId="6" fillId="6" borderId="10" xfId="3" applyFont="1" applyFill="1" applyBorder="1" applyAlignment="1">
      <alignment horizontal="center"/>
    </xf>
    <xf numFmtId="0" fontId="6" fillId="6" borderId="10" xfId="3" applyFont="1" applyFill="1" applyBorder="1" applyAlignment="1">
      <alignment wrapText="1"/>
    </xf>
    <xf numFmtId="0" fontId="6" fillId="6" borderId="10" xfId="3" applyFont="1" applyFill="1" applyBorder="1" applyAlignment="1">
      <alignment horizontal="center" wrapText="1"/>
    </xf>
    <xf numFmtId="168" fontId="6" fillId="6" borderId="10" xfId="9" applyNumberFormat="1" applyFont="1" applyFill="1" applyBorder="1" applyAlignment="1">
      <alignment wrapText="1"/>
    </xf>
    <xf numFmtId="0" fontId="6" fillId="6" borderId="10" xfId="3" applyFont="1" applyFill="1" applyBorder="1" applyAlignment="1">
      <alignment horizontal="center" vertical="center" wrapText="1"/>
    </xf>
    <xf numFmtId="168" fontId="6" fillId="6" borderId="10" xfId="9" applyNumberFormat="1" applyFont="1" applyFill="1" applyBorder="1" applyAlignment="1">
      <alignment vertical="center" wrapText="1"/>
    </xf>
    <xf numFmtId="168" fontId="6" fillId="6" borderId="10" xfId="9" applyNumberFormat="1" applyFont="1" applyFill="1" applyBorder="1" applyAlignment="1">
      <alignment vertical="center"/>
    </xf>
    <xf numFmtId="168" fontId="6" fillId="6" borderId="10" xfId="9" applyNumberFormat="1" applyFont="1" applyFill="1" applyBorder="1"/>
    <xf numFmtId="168" fontId="6" fillId="6" borderId="10" xfId="7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42" fontId="5" fillId="7" borderId="2" xfId="0" applyNumberFormat="1" applyFont="1" applyFill="1" applyBorder="1"/>
    <xf numFmtId="166" fontId="5" fillId="6" borderId="0" xfId="7" applyNumberFormat="1" applyFont="1" applyFill="1" applyAlignment="1">
      <alignment horizontal="center"/>
    </xf>
    <xf numFmtId="168" fontId="6" fillId="6" borderId="0" xfId="9" applyNumberFormat="1" applyFont="1" applyFill="1" applyAlignment="1">
      <alignment horizontal="center"/>
    </xf>
    <xf numFmtId="9" fontId="6" fillId="6" borderId="0" xfId="5" applyFont="1" applyFill="1" applyAlignment="1">
      <alignment horizontal="center"/>
    </xf>
    <xf numFmtId="168" fontId="6" fillId="6" borderId="0" xfId="0" applyNumberFormat="1" applyFont="1" applyFill="1"/>
    <xf numFmtId="0" fontId="6" fillId="6" borderId="0" xfId="0" applyFont="1" applyFill="1" applyAlignment="1">
      <alignment horizontal="center"/>
    </xf>
    <xf numFmtId="41" fontId="6" fillId="6" borderId="7" xfId="1" applyNumberFormat="1" applyFont="1" applyFill="1" applyBorder="1"/>
    <xf numFmtId="41" fontId="6" fillId="6" borderId="0" xfId="0" applyNumberFormat="1" applyFont="1" applyFill="1"/>
    <xf numFmtId="10" fontId="6" fillId="6" borderId="3" xfId="5" applyNumberFormat="1" applyFont="1" applyFill="1" applyBorder="1"/>
    <xf numFmtId="165" fontId="6" fillId="6" borderId="3" xfId="1" applyNumberFormat="1" applyFont="1" applyFill="1" applyBorder="1"/>
    <xf numFmtId="41" fontId="6" fillId="6" borderId="3" xfId="1" applyNumberFormat="1" applyFont="1" applyFill="1" applyBorder="1"/>
    <xf numFmtId="7" fontId="6" fillId="6" borderId="7" xfId="1" applyNumberFormat="1" applyFont="1" applyFill="1" applyBorder="1"/>
    <xf numFmtId="42" fontId="9" fillId="6" borderId="0" xfId="1" applyNumberFormat="1" applyFont="1" applyFill="1" applyBorder="1" applyAlignment="1" applyProtection="1">
      <alignment vertical="center"/>
    </xf>
    <xf numFmtId="42" fontId="6" fillId="6" borderId="0" xfId="1" applyNumberFormat="1" applyFont="1" applyFill="1" applyBorder="1"/>
    <xf numFmtId="42" fontId="9" fillId="6" borderId="0" xfId="1" applyNumberFormat="1" applyFont="1" applyFill="1"/>
    <xf numFmtId="42" fontId="9" fillId="6" borderId="0" xfId="1" applyNumberFormat="1" applyFont="1" applyFill="1" applyBorder="1"/>
    <xf numFmtId="0" fontId="10" fillId="6" borderId="0" xfId="0" applyFont="1" applyFill="1" applyAlignment="1">
      <alignment horizontal="left" indent="1"/>
    </xf>
    <xf numFmtId="0" fontId="10" fillId="6" borderId="3" xfId="0" applyFont="1" applyFill="1" applyBorder="1" applyAlignment="1">
      <alignment horizontal="left" indent="1"/>
    </xf>
    <xf numFmtId="42" fontId="6" fillId="6" borderId="0" xfId="1" applyNumberFormat="1" applyFont="1" applyFill="1" applyProtection="1"/>
    <xf numFmtId="166" fontId="5" fillId="6" borderId="0" xfId="9" applyNumberFormat="1" applyFont="1" applyFill="1" applyAlignment="1">
      <alignment horizontal="center"/>
    </xf>
    <xf numFmtId="168" fontId="6" fillId="6" borderId="0" xfId="3" applyNumberFormat="1" applyFont="1" applyFill="1"/>
    <xf numFmtId="0" fontId="6" fillId="6" borderId="0" xfId="3" applyFont="1" applyFill="1" applyAlignment="1">
      <alignment horizontal="center"/>
    </xf>
    <xf numFmtId="0" fontId="6" fillId="6" borderId="0" xfId="3" applyFont="1" applyFill="1" applyAlignment="1">
      <alignment horizontal="right"/>
    </xf>
    <xf numFmtId="10" fontId="6" fillId="6" borderId="0" xfId="5" applyNumberFormat="1" applyFont="1" applyFill="1"/>
    <xf numFmtId="0" fontId="7" fillId="6" borderId="0" xfId="3" applyFont="1" applyFill="1" applyAlignment="1">
      <alignment horizontal="left" indent="1"/>
    </xf>
    <xf numFmtId="0" fontId="10" fillId="6" borderId="0" xfId="3" applyFont="1" applyFill="1" applyAlignment="1">
      <alignment horizontal="left" indent="1"/>
    </xf>
    <xf numFmtId="0" fontId="10" fillId="6" borderId="3" xfId="3" applyFont="1" applyFill="1" applyBorder="1" applyAlignment="1">
      <alignment horizontal="left" indent="1"/>
    </xf>
    <xf numFmtId="0" fontId="13" fillId="0" borderId="0" xfId="8"/>
    <xf numFmtId="0" fontId="6" fillId="6" borderId="0" xfId="0" applyFont="1" applyFill="1"/>
    <xf numFmtId="9" fontId="6" fillId="6" borderId="0" xfId="4" applyFont="1" applyFill="1" applyBorder="1"/>
    <xf numFmtId="166" fontId="5" fillId="6" borderId="1" xfId="9" applyNumberFormat="1" applyFont="1" applyFill="1" applyBorder="1" applyAlignment="1">
      <alignment horizontal="center"/>
    </xf>
    <xf numFmtId="9" fontId="5" fillId="6" borderId="0" xfId="5" applyFont="1" applyFill="1" applyBorder="1"/>
    <xf numFmtId="10" fontId="6" fillId="6" borderId="3" xfId="5" applyNumberFormat="1" applyFont="1" applyFill="1" applyBorder="1" applyAlignment="1">
      <alignment horizontal="center"/>
    </xf>
    <xf numFmtId="0" fontId="5" fillId="6" borderId="10" xfId="3" applyFont="1" applyFill="1" applyBorder="1" applyAlignment="1">
      <alignment vertical="center"/>
    </xf>
    <xf numFmtId="0" fontId="8" fillId="0" borderId="0" xfId="0" applyFont="1"/>
    <xf numFmtId="170" fontId="16" fillId="0" borderId="0" xfId="8" applyNumberFormat="1" applyFont="1"/>
    <xf numFmtId="0" fontId="5" fillId="6" borderId="0" xfId="0" applyFont="1" applyFill="1"/>
    <xf numFmtId="49" fontId="13" fillId="0" borderId="0" xfId="8" applyNumberFormat="1" applyBorder="1" applyAlignment="1">
      <alignment horizontal="right"/>
    </xf>
    <xf numFmtId="6" fontId="5" fillId="0" borderId="0" xfId="0" applyNumberFormat="1" applyFont="1"/>
    <xf numFmtId="42" fontId="5" fillId="7" borderId="2" xfId="1" applyNumberFormat="1" applyFont="1" applyFill="1" applyBorder="1" applyProtection="1"/>
    <xf numFmtId="166" fontId="5" fillId="7" borderId="2" xfId="7" applyNumberFormat="1" applyFont="1" applyFill="1" applyBorder="1"/>
    <xf numFmtId="0" fontId="5" fillId="0" borderId="19" xfId="0" applyFont="1" applyBorder="1" applyAlignment="1">
      <alignment vertical="center"/>
    </xf>
    <xf numFmtId="42" fontId="5" fillId="0" borderId="19" xfId="1" applyNumberFormat="1" applyFont="1" applyBorder="1" applyProtection="1"/>
    <xf numFmtId="0" fontId="5" fillId="0" borderId="25" xfId="0" applyFont="1" applyBorder="1" applyAlignment="1">
      <alignment vertical="center"/>
    </xf>
    <xf numFmtId="42" fontId="5" fillId="0" borderId="25" xfId="1" applyNumberFormat="1" applyFont="1" applyBorder="1" applyProtection="1"/>
    <xf numFmtId="42" fontId="5" fillId="0" borderId="25" xfId="0" applyNumberFormat="1" applyFont="1" applyBorder="1"/>
    <xf numFmtId="42" fontId="5" fillId="0" borderId="19" xfId="0" applyNumberFormat="1" applyFont="1" applyBorder="1"/>
    <xf numFmtId="0" fontId="5" fillId="0" borderId="0" xfId="0" applyFont="1" applyAlignment="1">
      <alignment horizontal="center" wrapText="1"/>
    </xf>
    <xf numFmtId="42" fontId="5" fillId="0" borderId="19" xfId="1" applyNumberFormat="1" applyFont="1" applyFill="1" applyBorder="1" applyProtection="1"/>
    <xf numFmtId="0" fontId="11" fillId="0" borderId="19" xfId="0" applyFont="1" applyBorder="1" applyAlignment="1">
      <alignment vertical="center"/>
    </xf>
    <xf numFmtId="0" fontId="5" fillId="0" borderId="26" xfId="0" applyFont="1" applyBorder="1"/>
    <xf numFmtId="0" fontId="5" fillId="0" borderId="19" xfId="0" applyFont="1" applyBorder="1" applyAlignment="1">
      <alignment horizontal="center"/>
    </xf>
    <xf numFmtId="0" fontId="5" fillId="0" borderId="27" xfId="0" applyFont="1" applyBorder="1"/>
    <xf numFmtId="0" fontId="6" fillId="0" borderId="1" xfId="0" applyFont="1" applyBorder="1"/>
    <xf numFmtId="0" fontId="5" fillId="6" borderId="0" xfId="0" applyFont="1" applyFill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8" fontId="5" fillId="0" borderId="8" xfId="0" applyNumberFormat="1" applyFont="1" applyBorder="1"/>
    <xf numFmtId="168" fontId="5" fillId="0" borderId="3" xfId="0" applyNumberFormat="1" applyFont="1" applyBorder="1"/>
    <xf numFmtId="168" fontId="5" fillId="0" borderId="9" xfId="0" applyNumberFormat="1" applyFont="1" applyBorder="1"/>
    <xf numFmtId="0" fontId="5" fillId="0" borderId="0" xfId="0" applyFont="1" applyAlignment="1">
      <alignment horizontal="center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6" borderId="8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 wrapText="1" indent="1"/>
    </xf>
    <xf numFmtId="0" fontId="5" fillId="6" borderId="0" xfId="0" applyFont="1" applyFill="1" applyAlignment="1">
      <alignment horizontal="left" vertical="center" wrapText="1"/>
    </xf>
    <xf numFmtId="6" fontId="8" fillId="6" borderId="13" xfId="0" applyNumberFormat="1" applyFont="1" applyFill="1" applyBorder="1" applyAlignment="1">
      <alignment horizontal="center" vertical="center" wrapText="1"/>
    </xf>
    <xf numFmtId="6" fontId="8" fillId="6" borderId="14" xfId="0" applyNumberFormat="1" applyFont="1" applyFill="1" applyBorder="1" applyAlignment="1">
      <alignment horizontal="center" vertical="center" wrapText="1"/>
    </xf>
    <xf numFmtId="6" fontId="8" fillId="6" borderId="15" xfId="0" applyNumberFormat="1" applyFont="1" applyFill="1" applyBorder="1" applyAlignment="1">
      <alignment horizontal="center" vertical="center" wrapText="1"/>
    </xf>
    <xf numFmtId="0" fontId="13" fillId="0" borderId="3" xfId="8" applyBorder="1" applyAlignment="1">
      <alignment horizontal="left"/>
    </xf>
    <xf numFmtId="0" fontId="8" fillId="0" borderId="0" xfId="3" applyFont="1" applyAlignment="1">
      <alignment horizontal="right" indent="1"/>
    </xf>
    <xf numFmtId="0" fontId="5" fillId="0" borderId="11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5" fillId="0" borderId="12" xfId="3" applyFont="1" applyBorder="1" applyAlignment="1">
      <alignment horizontal="left"/>
    </xf>
    <xf numFmtId="0" fontId="8" fillId="0" borderId="0" xfId="3" applyFont="1" applyAlignment="1">
      <alignment horizontal="right"/>
    </xf>
    <xf numFmtId="0" fontId="6" fillId="0" borderId="21" xfId="0" applyFont="1" applyBorder="1" applyAlignment="1">
      <alignment horizontal="left" indent="3"/>
    </xf>
    <xf numFmtId="0" fontId="6" fillId="0" borderId="0" xfId="0" applyFont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23" xfId="0" applyFont="1" applyBorder="1" applyAlignment="1">
      <alignment horizontal="left" indent="3"/>
    </xf>
    <xf numFmtId="0" fontId="6" fillId="0" borderId="17" xfId="0" applyFont="1" applyBorder="1" applyAlignment="1">
      <alignment horizontal="left" indent="3"/>
    </xf>
    <xf numFmtId="0" fontId="6" fillId="0" borderId="24" xfId="0" applyFont="1" applyBorder="1" applyAlignment="1">
      <alignment horizontal="left" indent="3"/>
    </xf>
    <xf numFmtId="0" fontId="6" fillId="0" borderId="21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22" xfId="0" applyFont="1" applyBorder="1" applyAlignment="1">
      <alignment horizontal="left" indent="1"/>
    </xf>
    <xf numFmtId="6" fontId="8" fillId="2" borderId="13" xfId="0" applyNumberFormat="1" applyFont="1" applyFill="1" applyBorder="1" applyAlignment="1">
      <alignment horizontal="center" vertical="center" wrapText="1"/>
    </xf>
    <xf numFmtId="6" fontId="8" fillId="2" borderId="14" xfId="0" applyNumberFormat="1" applyFont="1" applyFill="1" applyBorder="1" applyAlignment="1">
      <alignment horizontal="center" vertical="center" wrapText="1"/>
    </xf>
    <xf numFmtId="6" fontId="8" fillId="2" borderId="15" xfId="0" applyNumberFormat="1" applyFont="1" applyFill="1" applyBorder="1" applyAlignment="1">
      <alignment horizontal="center" vertical="center" wrapText="1"/>
    </xf>
    <xf numFmtId="0" fontId="13" fillId="0" borderId="18" xfId="8" applyBorder="1" applyAlignment="1">
      <alignment horizontal="center"/>
    </xf>
    <xf numFmtId="0" fontId="13" fillId="0" borderId="19" xfId="8" applyBorder="1" applyAlignment="1">
      <alignment horizontal="center"/>
    </xf>
    <xf numFmtId="0" fontId="13" fillId="0" borderId="20" xfId="8" applyBorder="1" applyAlignment="1">
      <alignment horizontal="center"/>
    </xf>
    <xf numFmtId="0" fontId="5" fillId="0" borderId="21" xfId="0" applyFont="1" applyBorder="1"/>
    <xf numFmtId="0" fontId="5" fillId="0" borderId="0" xfId="0" applyFont="1"/>
    <xf numFmtId="0" fontId="5" fillId="0" borderId="22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9" fontId="5" fillId="6" borderId="4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center" wrapText="1"/>
    </xf>
    <xf numFmtId="49" fontId="5" fillId="6" borderId="5" xfId="0" applyNumberFormat="1" applyFont="1" applyFill="1" applyBorder="1" applyAlignment="1">
      <alignment horizontal="center" wrapText="1"/>
    </xf>
    <xf numFmtId="0" fontId="5" fillId="6" borderId="0" xfId="0" applyFont="1" applyFill="1"/>
    <xf numFmtId="0" fontId="7" fillId="0" borderId="0" xfId="3" applyFont="1" applyAlignment="1">
      <alignment horizontal="left" wrapText="1" indent="1"/>
    </xf>
    <xf numFmtId="49" fontId="5" fillId="6" borderId="4" xfId="3" applyNumberFormat="1" applyFont="1" applyFill="1" applyBorder="1" applyAlignment="1">
      <alignment horizontal="center" wrapText="1"/>
    </xf>
    <xf numFmtId="49" fontId="5" fillId="6" borderId="1" xfId="3" applyNumberFormat="1" applyFont="1" applyFill="1" applyBorder="1" applyAlignment="1">
      <alignment horizontal="center" wrapText="1"/>
    </xf>
    <xf numFmtId="49" fontId="5" fillId="6" borderId="5" xfId="3" applyNumberFormat="1" applyFont="1" applyFill="1" applyBorder="1" applyAlignment="1">
      <alignment horizontal="center" wrapText="1"/>
    </xf>
    <xf numFmtId="0" fontId="5" fillId="0" borderId="0" xfId="3" applyFont="1" applyAlignment="1">
      <alignment horizontal="left" vertical="center" wrapText="1"/>
    </xf>
    <xf numFmtId="0" fontId="5" fillId="6" borderId="0" xfId="3" applyFont="1" applyFill="1"/>
    <xf numFmtId="6" fontId="8" fillId="6" borderId="13" xfId="3" applyNumberFormat="1" applyFont="1" applyFill="1" applyBorder="1" applyAlignment="1">
      <alignment horizontal="center" vertical="center" wrapText="1"/>
    </xf>
    <xf numFmtId="6" fontId="8" fillId="6" borderId="14" xfId="3" applyNumberFormat="1" applyFont="1" applyFill="1" applyBorder="1" applyAlignment="1">
      <alignment horizontal="center" vertical="center" wrapText="1"/>
    </xf>
    <xf numFmtId="6" fontId="8" fillId="6" borderId="15" xfId="3" applyNumberFormat="1" applyFont="1" applyFill="1" applyBorder="1" applyAlignment="1">
      <alignment horizontal="center" vertical="center" wrapText="1"/>
    </xf>
    <xf numFmtId="0" fontId="13" fillId="0" borderId="0" xfId="8" applyBorder="1" applyAlignment="1">
      <alignment horizontal="right"/>
    </xf>
  </cellXfs>
  <cellStyles count="12">
    <cellStyle name="Comma" xfId="1" builtinId="3"/>
    <cellStyle name="Comma 2" xfId="11" xr:uid="{3D97C703-78DC-446B-84EA-5E15D353FEA4}"/>
    <cellStyle name="Currency" xfId="7" builtinId="4"/>
    <cellStyle name="Currency 2" xfId="9" xr:uid="{00000000-0005-0000-0000-000002000000}"/>
    <cellStyle name="Hyperlink" xfId="8" builtinId="8"/>
    <cellStyle name="Normal" xfId="0" builtinId="0"/>
    <cellStyle name="Normal 2" xfId="3" xr:uid="{00000000-0005-0000-0000-000005000000}"/>
    <cellStyle name="Normal 3" xfId="2" xr:uid="{00000000-0005-0000-0000-000006000000}"/>
    <cellStyle name="Normal 4" xfId="10" xr:uid="{6B1EE93D-FD8A-478C-8216-FAD1686D23AF}"/>
    <cellStyle name="Percent" xfId="4" builtinId="5"/>
    <cellStyle name="Percent 2" xfId="5" xr:uid="{00000000-0005-0000-0000-000008000000}"/>
    <cellStyle name="Percent 3" xfId="6" xr:uid="{00000000-0005-0000-0000-000009000000}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3464720</xdr:colOff>
      <xdr:row>0</xdr:row>
      <xdr:rowOff>59531</xdr:rowOff>
    </xdr:from>
    <xdr:to>
      <xdr:col>2</xdr:col>
      <xdr:colOff>785812</xdr:colOff>
      <xdr:row>1</xdr:row>
      <xdr:rowOff>336809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CEB16AB-096F-4D17-9445-A31659F43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4720" y="59531"/>
          <a:ext cx="2024061" cy="479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35719</xdr:rowOff>
    </xdr:from>
    <xdr:to>
      <xdr:col>0</xdr:col>
      <xdr:colOff>1893093</xdr:colOff>
      <xdr:row>1</xdr:row>
      <xdr:rowOff>330284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7" y="35719"/>
          <a:ext cx="1785936" cy="50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alencia, Angela C - (angelav)" id="{6A51CA73-721A-45E2-A1E6-0DB4E56897DB}" userId="S::angelav@arizona.edu::d640fd0b-f13e-4747-8d5f-577caeed355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I3" dT="2022-12-05T18:19:08.94" personId="{6A51CA73-721A-45E2-A1E6-0DB4E56897DB}" id="{3213E03A-BE96-4377-BCAD-E33452753573}">
    <text>Use for 7+ years of experience</text>
  </threadedComment>
  <threadedComment ref="U4" dT="2022-12-05T18:18:01.41" personId="{6A51CA73-721A-45E2-A1E6-0DB4E56897DB}" id="{2D3E67E2-46F2-4914-BFDE-F594788A1C94}">
    <text xml:space="preserve">Beginning FY 2023, the min wage for student workers is $14.50 and the min wage for Staff is $15.00
</text>
  </threadedComment>
  <threadedComment ref="O88" dT="2022-12-05T18:32:50.38" personId="{6A51CA73-721A-45E2-A1E6-0DB4E56897DB}" id="{2681BBE7-A395-469B-B053-C6319185EC93}">
    <text xml:space="preserve">Formula might need to be updated based on departmental limits on number of summer hours. </text>
  </threadedComment>
  <threadedComment ref="O94" dT="2022-12-05T18:34:19.81" personId="{6A51CA73-721A-45E2-A1E6-0DB4E56897DB}" id="{FD210B73-2B4B-4F7C-BF99-CB8A5431F270}">
    <text xml:space="preserve">Formula might need to be updated based on departmental limits on number of summer hours. </text>
  </threadedComment>
  <threadedComment ref="O100" dT="2022-12-05T18:34:46.10" personId="{6A51CA73-721A-45E2-A1E6-0DB4E56897DB}" id="{679BBD74-E3E8-44E9-BCAA-F2554499E07F}">
    <text xml:space="preserve">Formula might need to be updated based on departmental limits on number of summer hours. 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hr.arizona.edu/news/2023/01/university-increasing-its-minimum-wage-fy-2024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arizona.box.com/v/grad-ga-tuition" TargetMode="External"/><Relationship Id="rId1" Type="http://schemas.openxmlformats.org/officeDocument/2006/relationships/hyperlink" Target="https://grants.nih.gov/grants/guide/notice-files/NOT-OD-22-076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rants.nih.gov/grants/guide/notice-files/NOT-OD-23-076.html" TargetMode="External"/><Relationship Id="rId10" Type="http://schemas.microsoft.com/office/2017/10/relationships/threadedComment" Target="../threadedComments/threadedComment1.xml"/><Relationship Id="rId4" Type="http://schemas.openxmlformats.org/officeDocument/2006/relationships/hyperlink" Target="https://grants.nih.gov/grants/guide/notice-files/NOT-OD-23-056.html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rgw.arizona.edu/administration/proposal-preparation/cost-sharing-and-matching/procedures-for-cost-share" TargetMode="External"/><Relationship Id="rId1" Type="http://schemas.openxmlformats.org/officeDocument/2006/relationships/hyperlink" Target="https://rgw.arizona.edu/administration/proposal-preparation/cost-sharing-and-matching/procedures-for-cost-share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fdpclearinghouse.org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fdpclearinghouse.org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AI195"/>
  <sheetViews>
    <sheetView tabSelected="1" zoomScale="80" zoomScaleNormal="80" workbookViewId="0">
      <pane ySplit="6" topLeftCell="A7" activePane="bottomLeft" state="frozen"/>
      <selection pane="bottomLeft" activeCell="O118" sqref="O118"/>
    </sheetView>
  </sheetViews>
  <sheetFormatPr defaultColWidth="8.7109375" defaultRowHeight="15.75" outlineLevelRow="1" x14ac:dyDescent="0.25"/>
  <cols>
    <col min="1" max="1" width="56.7109375" style="1" bestFit="1" customWidth="1"/>
    <col min="2" max="6" width="13.7109375" style="1" customWidth="1"/>
    <col min="7" max="7" width="18" style="2" customWidth="1"/>
    <col min="8" max="8" width="5.7109375" style="2" customWidth="1"/>
    <col min="9" max="9" width="33" style="1" customWidth="1"/>
    <col min="10" max="14" width="11.7109375" style="1" customWidth="1"/>
    <col min="15" max="15" width="17.7109375" style="1" customWidth="1"/>
    <col min="16" max="16" width="14.42578125" style="1" hidden="1" customWidth="1"/>
    <col min="17" max="17" width="12.7109375" style="1" hidden="1" customWidth="1"/>
    <col min="18" max="18" width="12.28515625" style="1" hidden="1" customWidth="1"/>
    <col min="19" max="19" width="3.42578125" style="1" customWidth="1"/>
    <col min="20" max="20" width="30.28515625" style="1" bestFit="1" customWidth="1"/>
    <col min="21" max="21" width="12" style="80" bestFit="1" customWidth="1"/>
    <col min="22" max="22" width="8" style="80" bestFit="1" customWidth="1"/>
    <col min="23" max="23" width="22.28515625" style="22" bestFit="1" customWidth="1"/>
    <col min="24" max="24" width="12.7109375" style="1" hidden="1" customWidth="1"/>
    <col min="25" max="25" width="26" style="1" hidden="1" customWidth="1"/>
    <col min="26" max="26" width="7.7109375" style="1" hidden="1" customWidth="1"/>
    <col min="27" max="27" width="8.7109375" style="1" customWidth="1"/>
    <col min="28" max="28" width="13.42578125" style="1" customWidth="1"/>
    <col min="29" max="29" width="10.7109375" style="1" customWidth="1"/>
    <col min="30" max="30" width="12" style="1" customWidth="1"/>
    <col min="31" max="35" width="10.7109375" style="1" customWidth="1"/>
    <col min="36" max="16384" width="8.7109375" style="1"/>
  </cols>
  <sheetData>
    <row r="1" spans="1:35" s="2" customFormat="1" ht="15.75" customHeight="1" x14ac:dyDescent="0.25">
      <c r="A1" s="375"/>
      <c r="B1" s="375"/>
      <c r="C1" s="375"/>
      <c r="D1" s="375"/>
      <c r="E1" s="375"/>
      <c r="F1" s="375"/>
      <c r="G1" s="375"/>
      <c r="I1" s="369" t="s">
        <v>18</v>
      </c>
      <c r="J1" s="370"/>
      <c r="K1" s="370"/>
      <c r="L1" s="370"/>
      <c r="M1" s="370"/>
      <c r="N1" s="370"/>
      <c r="O1" s="371"/>
      <c r="T1" s="261" t="s">
        <v>157</v>
      </c>
      <c r="U1" s="267"/>
      <c r="V1" s="42"/>
      <c r="W1" s="169"/>
      <c r="Y1" s="368" t="s">
        <v>177</v>
      </c>
      <c r="Z1" s="368"/>
      <c r="AB1" s="334" t="s">
        <v>226</v>
      </c>
      <c r="AD1" s="345">
        <v>212100</v>
      </c>
    </row>
    <row r="2" spans="1:35" s="2" customFormat="1" ht="27.75" customHeight="1" x14ac:dyDescent="0.25">
      <c r="A2" s="375"/>
      <c r="B2" s="375"/>
      <c r="C2" s="375"/>
      <c r="D2" s="375"/>
      <c r="E2" s="375"/>
      <c r="F2" s="375"/>
      <c r="G2" s="375"/>
      <c r="I2" s="372"/>
      <c r="J2" s="373"/>
      <c r="K2" s="373"/>
      <c r="L2" s="373"/>
      <c r="M2" s="373"/>
      <c r="N2" s="373"/>
      <c r="O2" s="374"/>
      <c r="T2" s="2" t="s">
        <v>216</v>
      </c>
      <c r="U2" s="268">
        <f>AB4</f>
        <v>56484</v>
      </c>
      <c r="V2" s="5"/>
      <c r="W2" s="114"/>
      <c r="Y2" s="135" t="s">
        <v>178</v>
      </c>
      <c r="Z2" s="335"/>
      <c r="AB2" s="381" t="s">
        <v>227</v>
      </c>
      <c r="AC2" s="381"/>
      <c r="AD2" s="381"/>
      <c r="AE2" s="381"/>
      <c r="AF2" s="381"/>
      <c r="AG2" s="381"/>
      <c r="AH2" s="381"/>
      <c r="AI2" s="381"/>
    </row>
    <row r="3" spans="1:35" s="2" customFormat="1" ht="15.75" customHeight="1" x14ac:dyDescent="0.25">
      <c r="A3" s="377" t="s">
        <v>217</v>
      </c>
      <c r="B3" s="377"/>
      <c r="C3" s="377"/>
      <c r="D3" s="377"/>
      <c r="E3" s="377"/>
      <c r="F3" s="377"/>
      <c r="G3" s="377"/>
      <c r="I3" s="33"/>
      <c r="J3" s="42" t="s">
        <v>28</v>
      </c>
      <c r="K3" s="42"/>
      <c r="L3" s="42"/>
      <c r="M3" s="42"/>
      <c r="N3" s="42"/>
      <c r="O3" s="43" t="s">
        <v>29</v>
      </c>
      <c r="P3" s="1">
        <f>IF(MONTH(J4)&gt;6, 12+7-MONTH(J4), 7-MONTH(J4))</f>
        <v>6</v>
      </c>
      <c r="Q3" s="2" t="s">
        <v>129</v>
      </c>
      <c r="T3" s="344" t="s">
        <v>154</v>
      </c>
      <c r="U3" s="268">
        <f>6174*2</f>
        <v>12348</v>
      </c>
      <c r="V3" s="270">
        <v>0.08</v>
      </c>
      <c r="W3" s="170" t="s">
        <v>167</v>
      </c>
      <c r="Y3" s="135" t="s">
        <v>129</v>
      </c>
      <c r="Z3" s="312"/>
      <c r="AB3" s="362">
        <v>0</v>
      </c>
      <c r="AC3" s="363">
        <v>1</v>
      </c>
      <c r="AD3" s="363">
        <v>2</v>
      </c>
      <c r="AE3" s="363">
        <v>3</v>
      </c>
      <c r="AF3" s="363">
        <v>4</v>
      </c>
      <c r="AG3" s="363">
        <v>5</v>
      </c>
      <c r="AH3" s="363">
        <v>6</v>
      </c>
      <c r="AI3" s="364">
        <v>7</v>
      </c>
    </row>
    <row r="4" spans="1:35" ht="15.75" customHeight="1" thickBot="1" x14ac:dyDescent="0.3">
      <c r="A4" s="98" t="str">
        <f>"Period of Performance: "&amp;TEXT(J4, "mm/dd/yy")&amp;" - "&amp;TEXT(O4, "mm/dd/yy")&amp;" ["&amp;ROUND(J6,2)&amp; " Year(s)]"</f>
        <v>Period of Performance: 01/00/00 - 01/00/00 [0 Year(s)]</v>
      </c>
      <c r="B4" s="99"/>
      <c r="C4" s="99"/>
      <c r="D4" s="99"/>
      <c r="E4" s="99"/>
      <c r="F4" s="99"/>
      <c r="G4" s="98"/>
      <c r="I4" s="45" t="s">
        <v>52</v>
      </c>
      <c r="J4" s="262"/>
      <c r="K4" s="133"/>
      <c r="L4" s="133"/>
      <c r="M4" s="133"/>
      <c r="N4" s="133"/>
      <c r="O4" s="263"/>
      <c r="P4" s="1">
        <f>IF(DAY(J4)&gt;1,(P3-1+((DAY(DATE(YEAR(J4),MONTH(J4)+1,0))-DAY(J4))/DAY(DATE(YEAR(J4),MONTH(J4)+1,0)))),P3)</f>
        <v>6</v>
      </c>
      <c r="Q4" s="1" t="s">
        <v>127</v>
      </c>
      <c r="T4" s="420" t="s">
        <v>166</v>
      </c>
      <c r="U4" s="269">
        <v>14.5</v>
      </c>
      <c r="V4" s="168"/>
      <c r="W4" s="171"/>
      <c r="Y4" s="135" t="s">
        <v>179</v>
      </c>
      <c r="Z4" s="336"/>
      <c r="AB4" s="365">
        <v>56484</v>
      </c>
      <c r="AC4" s="366">
        <v>56880</v>
      </c>
      <c r="AD4" s="366">
        <v>57300</v>
      </c>
      <c r="AE4" s="366">
        <v>59592</v>
      </c>
      <c r="AF4" s="366">
        <v>61572</v>
      </c>
      <c r="AG4" s="366">
        <v>63852</v>
      </c>
      <c r="AH4" s="366">
        <v>66228</v>
      </c>
      <c r="AI4" s="367">
        <v>68604</v>
      </c>
    </row>
    <row r="5" spans="1:35" x14ac:dyDescent="0.25">
      <c r="A5" s="343" t="s">
        <v>225</v>
      </c>
      <c r="B5" s="335"/>
      <c r="C5" s="335"/>
      <c r="D5" s="335"/>
      <c r="E5" s="335"/>
      <c r="F5" s="335"/>
      <c r="G5" s="343"/>
      <c r="I5" s="9"/>
      <c r="J5" s="5" t="s">
        <v>80</v>
      </c>
      <c r="K5" s="5"/>
      <c r="L5" s="5"/>
      <c r="M5" s="5"/>
      <c r="N5" s="5"/>
      <c r="O5" s="41" t="s">
        <v>14</v>
      </c>
      <c r="P5" s="1">
        <f>IF(O4-J4&lt;366, P4/((YEAR(O4)-YEAR(J4))*12+MONTH(O4)-MONTH(J4)+1),0)</f>
        <v>6</v>
      </c>
      <c r="Q5" s="1" t="s">
        <v>128</v>
      </c>
      <c r="T5" s="5"/>
      <c r="U5" s="5" t="s">
        <v>82</v>
      </c>
      <c r="V5" s="5" t="s">
        <v>86</v>
      </c>
      <c r="W5" s="5" t="s">
        <v>112</v>
      </c>
      <c r="Y5" s="127" t="s">
        <v>180</v>
      </c>
      <c r="Z5" s="2">
        <f>IF(Z3="F",Z2*12*Z4,IF(Z3="A",Z2*9*Z4,0))</f>
        <v>0</v>
      </c>
      <c r="AB5" s="334"/>
    </row>
    <row r="6" spans="1:35" s="5" customFormat="1" ht="16.5" thickBot="1" x14ac:dyDescent="0.3">
      <c r="B6" s="354" t="s">
        <v>6</v>
      </c>
      <c r="C6" s="5" t="s">
        <v>5</v>
      </c>
      <c r="D6" s="5" t="s">
        <v>7</v>
      </c>
      <c r="E6" s="5" t="s">
        <v>8</v>
      </c>
      <c r="F6" s="5" t="s">
        <v>9</v>
      </c>
      <c r="G6" s="5" t="s">
        <v>10</v>
      </c>
      <c r="I6" s="8"/>
      <c r="J6" s="44">
        <f>YEARFRAC(J4,O4)</f>
        <v>0</v>
      </c>
      <c r="K6" s="44"/>
      <c r="L6" s="44"/>
      <c r="M6" s="44"/>
      <c r="N6" s="44"/>
      <c r="O6" s="264"/>
      <c r="T6" s="5" t="s">
        <v>155</v>
      </c>
      <c r="U6" s="5" t="s">
        <v>83</v>
      </c>
      <c r="V6" s="5" t="s">
        <v>126</v>
      </c>
      <c r="W6" s="5" t="s">
        <v>113</v>
      </c>
      <c r="Y6" s="127" t="s">
        <v>181</v>
      </c>
      <c r="Z6" s="234">
        <f>IF(Z3="F",Z5/12,IF(Z3="A",Z5/9,0))</f>
        <v>0</v>
      </c>
      <c r="AB6" s="345"/>
    </row>
    <row r="7" spans="1:35" s="2" customFormat="1" x14ac:dyDescent="0.25">
      <c r="A7" s="348" t="s">
        <v>3</v>
      </c>
      <c r="B7" s="353"/>
      <c r="C7" s="353"/>
      <c r="D7" s="353"/>
      <c r="E7" s="353"/>
      <c r="F7" s="353"/>
      <c r="G7" s="353"/>
      <c r="I7" s="357"/>
      <c r="J7" s="358" t="s">
        <v>6</v>
      </c>
      <c r="K7" s="358" t="s">
        <v>5</v>
      </c>
      <c r="L7" s="358" t="s">
        <v>7</v>
      </c>
      <c r="M7" s="358" t="s">
        <v>8</v>
      </c>
      <c r="N7" s="358" t="s">
        <v>9</v>
      </c>
      <c r="O7" s="359"/>
      <c r="T7" s="77"/>
      <c r="U7" s="5"/>
      <c r="V7" s="158"/>
      <c r="W7" s="114"/>
    </row>
    <row r="8" spans="1:35" outlineLevel="1" x14ac:dyDescent="0.25">
      <c r="A8" s="361" t="s">
        <v>84</v>
      </c>
      <c r="B8" s="47"/>
      <c r="C8" s="48"/>
      <c r="D8" s="48"/>
      <c r="E8" s="48"/>
      <c r="F8" s="48"/>
      <c r="G8" s="46"/>
      <c r="I8" s="89" t="s">
        <v>132</v>
      </c>
      <c r="J8" s="166">
        <f>IF(U12="F",J9*12,SUM(J10*9,J11))</f>
        <v>0</v>
      </c>
      <c r="K8" s="166">
        <f>IF(U12="F",K9*12,SUM(K10*9,K11))</f>
        <v>0</v>
      </c>
      <c r="L8" s="166">
        <f>IF(U12="F",L9*12,SUM(L10*9,L11))</f>
        <v>0</v>
      </c>
      <c r="M8" s="166">
        <f>IF(U12="F",M9*12,SUM(M10*9,M11))</f>
        <v>0</v>
      </c>
      <c r="N8" s="166">
        <f>IF(U12="F",N9*12,SUM(N10*9,N11))</f>
        <v>0</v>
      </c>
      <c r="O8" s="41" t="s">
        <v>51</v>
      </c>
      <c r="P8" s="134" t="s">
        <v>130</v>
      </c>
      <c r="Q8" s="134" t="s">
        <v>131</v>
      </c>
      <c r="R8" s="11"/>
      <c r="S8" s="12"/>
      <c r="T8" s="78"/>
      <c r="V8" s="159"/>
    </row>
    <row r="9" spans="1:35" outlineLevel="1" x14ac:dyDescent="0.25">
      <c r="A9" s="13" t="e">
        <f>ROUND(P9*100, 2)&amp;"% Avg. Fiscal Effort, "&amp;ROUND(Q9, 2)&amp;" Avg. Calendar Months"</f>
        <v>#DIV/0!</v>
      </c>
      <c r="B9" s="47">
        <f>O9*J9</f>
        <v>0</v>
      </c>
      <c r="C9" s="47">
        <f>IF($J$6&gt;1,IF($U$1&lt;&gt;0,IF(O9*(1+$O$6)&lt;=$U$1,O9*K9*(1+$O$6),$U$1*K9),O9*K9*(1+$O$6)),0)</f>
        <v>0</v>
      </c>
      <c r="D9" s="47">
        <f>IF($J$6&gt;2,IF($U$1&lt;&gt;0,IF(O9*(1+$O$6)^2&lt;=$U$1,O9*L9*(1+$O$6)^2,$U$1*L9),O9*L9*(1+$O$6)^2),0)</f>
        <v>0</v>
      </c>
      <c r="E9" s="47">
        <f>IF($J$6&gt;3,IF($U$1&lt;&gt;0,IF(O9*(1+$O$6)^3&lt;=$U$1,O9*M9*(1+$O$6)^3,$U$1*M9),O9*M9*(1+$O$6)^3),0)</f>
        <v>0</v>
      </c>
      <c r="F9" s="47">
        <f>IF($J$6&gt;4,IF($U$1&lt;&gt;0,IF(O9*(1+$O$6)^4&lt;=$U$1,O9*N9*(1+$O$6)^4,$U$1*N9),O9*N9*(1+$O$6)^4),0)</f>
        <v>0</v>
      </c>
      <c r="G9" s="46">
        <f>SUM(B9:F9)</f>
        <v>0</v>
      </c>
      <c r="H9" s="14"/>
      <c r="I9" s="89" t="s">
        <v>26</v>
      </c>
      <c r="J9" s="265">
        <v>0</v>
      </c>
      <c r="K9" s="265">
        <f>IF($J$6&gt;1,J9,0)</f>
        <v>0</v>
      </c>
      <c r="L9" s="265">
        <f>IF($J$6&gt;2,K9,0)</f>
        <v>0</v>
      </c>
      <c r="M9" s="265">
        <f>IF($J$6&gt;3,L9,0)</f>
        <v>0</v>
      </c>
      <c r="N9" s="265">
        <f>IF($J$6&gt;4,M9,0)</f>
        <v>0</v>
      </c>
      <c r="O9" s="128">
        <f>IF(U12="F",IF($U$1&lt;&gt;0,IF(T12&gt;$U$1,$U$1,T12),T12),0)</f>
        <v>0</v>
      </c>
      <c r="P9" s="135" t="e">
        <f>SUM(J8:N8)/(ROUNDUP($J$6,0)*12)</f>
        <v>#DIV/0!</v>
      </c>
      <c r="Q9" s="136" t="e">
        <f>(SUM(J8:N8)/(CEILING($J$6*12,12)))*12</f>
        <v>#DIV/0!</v>
      </c>
      <c r="T9" s="78"/>
      <c r="V9" s="159"/>
      <c r="X9" s="17"/>
    </row>
    <row r="10" spans="1:35" outlineLevel="1" x14ac:dyDescent="0.25">
      <c r="A10" s="376" t="e">
        <f>ROUND(P9*100,2)&amp;"% Annualized Effort, "&amp;ROUND(Q10,2)&amp;" Avg. Academic Months
"&amp;IF(SUM(J11:N11)&gt;0," and "&amp;Q11 &amp;" Avg. Summer Months", "")</f>
        <v>#DIV/0!</v>
      </c>
      <c r="B10" s="47">
        <f>J10*O10</f>
        <v>0</v>
      </c>
      <c r="C10" s="47">
        <f>IF($J$6&gt;1,IF($U$1&lt;&gt;0,IF(O10*(1+$O$6)&lt;=$U$1*0.75,O10*K10*(1+$O$6),$U$1*0.75*K10),O10*K10*(1+$O$6)),0)</f>
        <v>0</v>
      </c>
      <c r="D10" s="47">
        <f>IF($J$6&gt;2,IF($U$1&lt;&gt;0,IF(O10*(1+$O$6)^2&lt;=$U$1*0.75,O10*L10*(1+$O$6)^2,$U$1*0.75*L10),O10*L10*(1+$O$6)^2),0)</f>
        <v>0</v>
      </c>
      <c r="E10" s="47">
        <f>IF($J$6&gt;3,IF($U$1&lt;&gt;0,IF(O10*(1+$O$6)^3&lt;=$U$1*0.75,O10*M10*(1+$O$6)^3,$U$1*0.75*M10),O10*M10*(1+$O$6)^3),0)</f>
        <v>0</v>
      </c>
      <c r="F10" s="47">
        <f>IF($J$6&gt;4,IF($U$1&lt;&gt;0,IF(O10*(1+$O$6)^4&lt;=$U$1*0.75,O10*N10*(1+$O$6)^4,$U$1*0.75*N10),O10*N10*(1+$O$6)^4),0)</f>
        <v>0</v>
      </c>
      <c r="G10" s="46">
        <f>SUM(B10:F10)</f>
        <v>0</v>
      </c>
      <c r="H10" s="14"/>
      <c r="I10" s="89" t="s">
        <v>15</v>
      </c>
      <c r="J10" s="265">
        <v>0</v>
      </c>
      <c r="K10" s="265">
        <f t="shared" ref="K10:K11" si="0">IF($J$6&gt;1,J10,0)</f>
        <v>0</v>
      </c>
      <c r="L10" s="265">
        <f t="shared" ref="L10:L11" si="1">IF($J$6&gt;2,K10,0)</f>
        <v>0</v>
      </c>
      <c r="M10" s="265">
        <f t="shared" ref="M10:M11" si="2">IF($J$6&gt;3,L10,0)</f>
        <v>0</v>
      </c>
      <c r="N10" s="265">
        <f t="shared" ref="N10:N11" si="3">IF($J$6&gt;4,M10,0)</f>
        <v>0</v>
      </c>
      <c r="O10" s="128">
        <f>IF(U12="A",IF($U$1&lt;&gt;0,IF(T12&gt;($U$1/12*9),($U$1/12*9),T12),T12),0)</f>
        <v>0</v>
      </c>
      <c r="P10" s="143"/>
      <c r="Q10" s="137" t="e">
        <f>((SUM(J8:N8)-SUM(J11:N11))/(CEILING($J$6*9,9)))*9</f>
        <v>#DIV/0!</v>
      </c>
      <c r="R10" s="12"/>
      <c r="S10" s="12"/>
      <c r="T10" s="78"/>
      <c r="V10" s="159"/>
    </row>
    <row r="11" spans="1:35" outlineLevel="1" x14ac:dyDescent="0.25">
      <c r="A11" s="376"/>
      <c r="B11" s="47">
        <f>J11/3*O11</f>
        <v>0</v>
      </c>
      <c r="C11" s="47">
        <f>IF($J$6&gt;1,IF($U$1&lt;&gt;0,IF(O11*(1+$O$6)&lt;=$U$1*0.25,O11*K11/3*(1+$O$6),$U$1*0.25*K11/3),O11*K11/3*(1+$O$6)),0)</f>
        <v>0</v>
      </c>
      <c r="D11" s="47">
        <f>IF($J$6&gt;2,IF($U$1&lt;&gt;0,IF(O11*(1+$O$6)^2&lt;=$U$1*0.25,O11*L11/3*(1+$O$6)^2,$U$1*0.25*L11/3),O11*L11/3*(1+$O$6)^2),0)</f>
        <v>0</v>
      </c>
      <c r="E11" s="47">
        <f>IF($J$6&gt;3,IF($U$1&lt;&gt;0,IF(O11*(1+$O$6)^3&lt;=$U$1*0.25,O11*M11/3*(1+$O$6)^3,$U$1*0.25*M11/3),O11*M11/3*(1+$O$6)^3),0)</f>
        <v>0</v>
      </c>
      <c r="F11" s="47">
        <f>IF($J$6&gt;4,IF($U$1&lt;&gt;0,IF(O11*(1+$O$6)^4&lt;=$U$1*0.25,O11*N11/3*(1+$O$6)^4,$U$1*0.25*N11/3),O11*N11/3*(1+$O$6)^4),0)</f>
        <v>0</v>
      </c>
      <c r="G11" s="46">
        <f>SUM(B11:F11)</f>
        <v>0</v>
      </c>
      <c r="H11" s="14"/>
      <c r="I11" s="89" t="s">
        <v>17</v>
      </c>
      <c r="J11" s="266">
        <v>0</v>
      </c>
      <c r="K11" s="266">
        <f t="shared" si="0"/>
        <v>0</v>
      </c>
      <c r="L11" s="266">
        <f t="shared" si="1"/>
        <v>0</v>
      </c>
      <c r="M11" s="266">
        <f t="shared" si="2"/>
        <v>0</v>
      </c>
      <c r="N11" s="266">
        <f t="shared" si="3"/>
        <v>0</v>
      </c>
      <c r="O11" s="128">
        <f>O10*0.000731*456</f>
        <v>0</v>
      </c>
      <c r="P11" s="138"/>
      <c r="Q11" s="138" t="e">
        <f>((SUM(J8:N8)-SUM(J10:N10)*9)/(CEILING($J$6*3,3)))*3</f>
        <v>#DIV/0!</v>
      </c>
      <c r="R11" s="12"/>
      <c r="S11" s="12"/>
      <c r="V11" s="159"/>
      <c r="Y11"/>
      <c r="Z11"/>
    </row>
    <row r="12" spans="1:35" outlineLevel="1" x14ac:dyDescent="0.25">
      <c r="A12" s="18"/>
      <c r="B12" s="47"/>
      <c r="C12" s="47"/>
      <c r="D12" s="48"/>
      <c r="E12" s="48"/>
      <c r="F12" s="48"/>
      <c r="G12" s="49"/>
      <c r="H12" s="19"/>
      <c r="I12" s="149" t="s">
        <v>111</v>
      </c>
      <c r="J12" s="145">
        <f>SUM(B9:B11)*$V12</f>
        <v>0</v>
      </c>
      <c r="K12" s="145">
        <f>SUM(C9:C11)*$V12</f>
        <v>0</v>
      </c>
      <c r="L12" s="145">
        <f>SUM(D9:D11)*$V12</f>
        <v>0</v>
      </c>
      <c r="M12" s="145">
        <f>SUM(E9:E11)*$V12</f>
        <v>0</v>
      </c>
      <c r="N12" s="145">
        <f>SUM(F9:F11)*$V12</f>
        <v>0</v>
      </c>
      <c r="O12" s="21"/>
      <c r="P12" s="138"/>
      <c r="Q12" s="138"/>
      <c r="R12" s="12"/>
      <c r="S12" s="12"/>
      <c r="T12" s="272">
        <v>0</v>
      </c>
      <c r="U12" s="273" t="s">
        <v>128</v>
      </c>
      <c r="V12" s="274">
        <v>0.31900000000000001</v>
      </c>
      <c r="W12" s="275"/>
      <c r="Y12"/>
      <c r="Z12"/>
    </row>
    <row r="13" spans="1:35" outlineLevel="1" x14ac:dyDescent="0.25">
      <c r="A13" s="361" t="s">
        <v>84</v>
      </c>
      <c r="B13" s="47"/>
      <c r="C13" s="48"/>
      <c r="D13" s="48"/>
      <c r="E13" s="48"/>
      <c r="F13" s="48"/>
      <c r="G13" s="46"/>
      <c r="I13" s="89" t="s">
        <v>132</v>
      </c>
      <c r="J13" s="166">
        <f>IF(U17="F",J14*12,SUM(J15*9,J16))</f>
        <v>0</v>
      </c>
      <c r="K13" s="166">
        <f>IF(U17="F",K14*12,SUM(K15*9,K16))</f>
        <v>0</v>
      </c>
      <c r="L13" s="166">
        <f>IF(U17="F",L14*12,SUM(L15*9,L16))</f>
        <v>0</v>
      </c>
      <c r="M13" s="166">
        <f>IF(U17="F",M14*12,SUM(M15*9,M16))</f>
        <v>0</v>
      </c>
      <c r="N13" s="166">
        <f>IF(U17="F",N14*12,SUM(N15*9,N16))</f>
        <v>0</v>
      </c>
      <c r="O13" s="41" t="s">
        <v>51</v>
      </c>
      <c r="P13" s="134" t="s">
        <v>130</v>
      </c>
      <c r="Q13" s="134" t="s">
        <v>131</v>
      </c>
      <c r="R13" s="11"/>
      <c r="S13" s="12"/>
      <c r="T13" s="78"/>
      <c r="V13" s="159"/>
      <c r="Y13"/>
      <c r="Z13"/>
    </row>
    <row r="14" spans="1:35" outlineLevel="1" x14ac:dyDescent="0.25">
      <c r="A14" s="13" t="e">
        <f>ROUND(P14*100, 2)&amp;"% Avg. Fiscal Effort, "&amp;ROUND(Q14, 2)&amp;" Avg. Calendar Months"</f>
        <v>#DIV/0!</v>
      </c>
      <c r="B14" s="47">
        <f>O14*J14</f>
        <v>0</v>
      </c>
      <c r="C14" s="47">
        <f>IF($J$6&gt;1,IF($U$1&lt;&gt;0,IF(O14*(1+$O$6)&lt;=$U$1,O14*K14*(1+$O$6),$U$1*K14),O14*K14*(1+$O$6)),0)</f>
        <v>0</v>
      </c>
      <c r="D14" s="47">
        <f>IF($J$6&gt;2,IF($U$1&lt;&gt;0,IF(O14*(1+$O$6)^2&lt;=$U$1,O14*L14*(1+$O$6)^2,$U$1*L14),O14*L14*(1+$O$6)^2),0)</f>
        <v>0</v>
      </c>
      <c r="E14" s="47">
        <f>IF($J$6&gt;3,IF($U$1&lt;&gt;0,IF(O14*(1+$O$6)^3&lt;=$U$1,O14*M14*(1+$O$6)^3,$U$1*M14),O14*M14*(1+$O$6)^3),0)</f>
        <v>0</v>
      </c>
      <c r="F14" s="47">
        <f>IF($J$6&gt;4,IF($U$1&lt;&gt;0,IF(O14*(1+$O$6)^4&lt;=$U$1,O14*N14*(1+$O$6)^4,$U$1*N14),O14*N14*(1+$O$6)^4),0)</f>
        <v>0</v>
      </c>
      <c r="G14" s="46">
        <f>SUM(B14:F14)</f>
        <v>0</v>
      </c>
      <c r="H14" s="14"/>
      <c r="I14" s="89" t="s">
        <v>26</v>
      </c>
      <c r="J14" s="265">
        <v>0</v>
      </c>
      <c r="K14" s="265">
        <f>IF($J$6&gt;1,J14,0)</f>
        <v>0</v>
      </c>
      <c r="L14" s="265">
        <f>IF($J$6&gt;2,K14,0)</f>
        <v>0</v>
      </c>
      <c r="M14" s="265">
        <f>IF($J$6&gt;3,L14,0)</f>
        <v>0</v>
      </c>
      <c r="N14" s="265">
        <f>IF($J$6&gt;4,M14,0)</f>
        <v>0</v>
      </c>
      <c r="O14" s="128">
        <f>IF(U17="F",IF($U$1&lt;&gt;0,IF(T17&gt;$U$1,$U$1,T17),T17),0)</f>
        <v>0</v>
      </c>
      <c r="P14" s="135" t="e">
        <f>SUM(J13:N13)/(ROUNDUP($J$6,0)*12)</f>
        <v>#DIV/0!</v>
      </c>
      <c r="Q14" s="136" t="e">
        <f>(SUM(J13:N13)/(CEILING($J$6*12,12)))*12</f>
        <v>#DIV/0!</v>
      </c>
      <c r="T14" s="78"/>
      <c r="V14" s="159"/>
      <c r="X14" s="17"/>
      <c r="Y14"/>
      <c r="Z14"/>
    </row>
    <row r="15" spans="1:35" ht="15.75" customHeight="1" outlineLevel="1" x14ac:dyDescent="0.25">
      <c r="A15" s="376" t="e">
        <f>ROUND(P14*100,2)&amp;"% Annualized Effort, "&amp;ROUND(Q15,2)&amp;" Avg. Academic Months
"&amp;IF(SUM(J16:N16)&gt;0," and "&amp;Q16 &amp;" Avg. Summer Months", "")</f>
        <v>#DIV/0!</v>
      </c>
      <c r="B15" s="47">
        <f>J15*O15</f>
        <v>0</v>
      </c>
      <c r="C15" s="47">
        <f>IF($J$6&gt;1,IF($U$1&lt;&gt;0,IF(O15*(1+$O$6)&lt;=$U$1*0.75,O15*K15*(1+$O$6),$U$1*0.75*K15),O15*K15*(1+$O$6)),0)</f>
        <v>0</v>
      </c>
      <c r="D15" s="47">
        <f>IF($J$6&gt;2,IF($U$1&lt;&gt;0,IF(O15*(1+$O$6)^2&lt;=$U$1*0.75,O15*L15*(1+$O$6)^2,$U$1*0.75*L15),O15*L15*(1+$O$6)^2),0)</f>
        <v>0</v>
      </c>
      <c r="E15" s="47">
        <f>IF($J$6&gt;3,IF($U$1&lt;&gt;0,IF(O15*(1+$O$6)^3&lt;=$U$1*0.75,O15*M15*(1+$O$6)^3,$U$1*0.75*M15),O15*M15*(1+$O$6)^3),0)</f>
        <v>0</v>
      </c>
      <c r="F15" s="47">
        <f>IF($J$6&gt;4,IF($U$1&lt;&gt;0,IF(O15*(1+$O$6)^4&lt;=$U$1*0.75,O15*N15*(1+$O$6)^4,$U$1*0.75*N15),O15*N15*(1+$O$6)^4),0)</f>
        <v>0</v>
      </c>
      <c r="G15" s="46">
        <f>SUM(B15:F15)</f>
        <v>0</v>
      </c>
      <c r="H15" s="14"/>
      <c r="I15" s="89" t="s">
        <v>15</v>
      </c>
      <c r="J15" s="265">
        <v>0</v>
      </c>
      <c r="K15" s="265">
        <f t="shared" ref="K15:K16" si="4">IF($J$6&gt;1,J15,0)</f>
        <v>0</v>
      </c>
      <c r="L15" s="265">
        <f t="shared" ref="L15:L16" si="5">IF($J$6&gt;2,K15,0)</f>
        <v>0</v>
      </c>
      <c r="M15" s="265">
        <f t="shared" ref="M15:M16" si="6">IF($J$6&gt;3,L15,0)</f>
        <v>0</v>
      </c>
      <c r="N15" s="265">
        <f t="shared" ref="N15:N16" si="7">IF($J$6&gt;4,M15,0)</f>
        <v>0</v>
      </c>
      <c r="O15" s="128">
        <f>IF(U17="A",IF($U$1&lt;&gt;0,IF(T17&gt;($U$1/12*9),($U$1/12*9),T17),T17),0)</f>
        <v>0</v>
      </c>
      <c r="P15" s="143"/>
      <c r="Q15" s="137" t="e">
        <f>((SUM(J13:N13)-SUM(J16:N16))/(CEILING($J$6*9,9)))*9</f>
        <v>#DIV/0!</v>
      </c>
      <c r="R15" s="12"/>
      <c r="S15" s="12"/>
      <c r="T15" s="78"/>
      <c r="V15" s="159"/>
      <c r="Y15"/>
      <c r="Z15"/>
    </row>
    <row r="16" spans="1:35" outlineLevel="1" x14ac:dyDescent="0.25">
      <c r="A16" s="376"/>
      <c r="B16" s="47">
        <f>J16/3*O16</f>
        <v>0</v>
      </c>
      <c r="C16" s="47">
        <f>IF($J$6&gt;1,IF($U$1&lt;&gt;0,IF(O16*(1+$O$6)&lt;=$U$1*0.25,O16*K16/3*(1+$O$6),$U$1*0.25*K16/3),O16*K16/3*(1+$O$6)),0)</f>
        <v>0</v>
      </c>
      <c r="D16" s="47">
        <f>IF($J$6&gt;2,IF($U$1&lt;&gt;0,IF(O16*(1+$O$6)^2&lt;=$U$1*0.25,O16*L16/3*(1+$O$6)^2,$U$1*0.25*L16/3),O16*L16/3*(1+$O$6)^2),0)</f>
        <v>0</v>
      </c>
      <c r="E16" s="47">
        <f>IF($J$6&gt;3,IF($U$1&lt;&gt;0,IF(O16*(1+$O$6)^3&lt;=$U$1*0.25,O16*M16/3*(1+$O$6)^3,$U$1*0.25*M16/3),O16*M16/3*(1+$O$6)^3),0)</f>
        <v>0</v>
      </c>
      <c r="F16" s="47">
        <f>IF($J$6&gt;4,IF($U$1&lt;&gt;0,IF(O16*(1+$O$6)^4&lt;=$U$1*0.25,O16*N16/3*(1+$O$6)^4,$U$1*0.25*N16/3),O16*N16/3*(1+$O$6)^4),0)</f>
        <v>0</v>
      </c>
      <c r="G16" s="46">
        <f>SUM(B16:F16)</f>
        <v>0</v>
      </c>
      <c r="H16" s="14"/>
      <c r="I16" s="89" t="s">
        <v>17</v>
      </c>
      <c r="J16" s="266">
        <v>0</v>
      </c>
      <c r="K16" s="266">
        <f t="shared" si="4"/>
        <v>0</v>
      </c>
      <c r="L16" s="266">
        <f t="shared" si="5"/>
        <v>0</v>
      </c>
      <c r="M16" s="266">
        <f t="shared" si="6"/>
        <v>0</v>
      </c>
      <c r="N16" s="266">
        <f t="shared" si="7"/>
        <v>0</v>
      </c>
      <c r="O16" s="128">
        <f>O15*0.000731*456</f>
        <v>0</v>
      </c>
      <c r="P16" s="138"/>
      <c r="Q16" s="138" t="e">
        <f>((SUM(J13:N13)-SUM(J15:N15)*9)/(CEILING($J$6*3,3)))*3</f>
        <v>#DIV/0!</v>
      </c>
      <c r="R16" s="12"/>
      <c r="S16" s="12"/>
      <c r="V16" s="159"/>
      <c r="Y16"/>
      <c r="Z16"/>
    </row>
    <row r="17" spans="1:26" outlineLevel="1" x14ac:dyDescent="0.25">
      <c r="A17" s="18"/>
      <c r="B17" s="47"/>
      <c r="C17" s="47"/>
      <c r="D17" s="48"/>
      <c r="E17" s="48"/>
      <c r="F17" s="48"/>
      <c r="G17" s="49"/>
      <c r="H17" s="19"/>
      <c r="I17" s="149" t="s">
        <v>111</v>
      </c>
      <c r="J17" s="145">
        <f>SUM(B14:B16)*$V17</f>
        <v>0</v>
      </c>
      <c r="K17" s="145">
        <f>SUM(C14:C16)*$V17</f>
        <v>0</v>
      </c>
      <c r="L17" s="145">
        <f>SUM(D14:D16)*$V17</f>
        <v>0</v>
      </c>
      <c r="M17" s="145">
        <f>SUM(E14:E16)*$V17</f>
        <v>0</v>
      </c>
      <c r="N17" s="145">
        <f>SUM(F14:F16)*$V17</f>
        <v>0</v>
      </c>
      <c r="O17" s="21"/>
      <c r="P17" s="138"/>
      <c r="Q17" s="138"/>
      <c r="R17" s="12"/>
      <c r="S17" s="12"/>
      <c r="T17" s="272"/>
      <c r="U17" s="273"/>
      <c r="V17" s="274"/>
      <c r="W17" s="275"/>
      <c r="Y17"/>
      <c r="Z17"/>
    </row>
    <row r="18" spans="1:26" outlineLevel="1" x14ac:dyDescent="0.25">
      <c r="A18" s="361" t="s">
        <v>84</v>
      </c>
      <c r="B18" s="47"/>
      <c r="C18" s="48"/>
      <c r="D18" s="48"/>
      <c r="E18" s="48"/>
      <c r="F18" s="48"/>
      <c r="G18" s="46"/>
      <c r="I18" s="89" t="s">
        <v>132</v>
      </c>
      <c r="J18" s="166">
        <f>IF(U22="F",J19*12,SUM(J20*9,J21))</f>
        <v>0</v>
      </c>
      <c r="K18" s="166">
        <f>IF(U22="F",K19*12,SUM(K20*9,K21))</f>
        <v>0</v>
      </c>
      <c r="L18" s="166">
        <f>IF(U22="F",L19*12,SUM(L20*9,L21))</f>
        <v>0</v>
      </c>
      <c r="M18" s="166">
        <f>IF(U22="F",M19*12,SUM(M20*9,M21))</f>
        <v>0</v>
      </c>
      <c r="N18" s="166">
        <f>IF(U22="F",N19*12,SUM(N20*9,N21))</f>
        <v>0</v>
      </c>
      <c r="O18" s="41" t="s">
        <v>51</v>
      </c>
      <c r="P18" s="134" t="s">
        <v>130</v>
      </c>
      <c r="Q18" s="134" t="s">
        <v>131</v>
      </c>
      <c r="R18" s="11"/>
      <c r="S18" s="12"/>
      <c r="T18" s="78"/>
      <c r="V18" s="159"/>
      <c r="Y18"/>
      <c r="Z18"/>
    </row>
    <row r="19" spans="1:26" outlineLevel="1" x14ac:dyDescent="0.25">
      <c r="A19" s="13" t="e">
        <f>ROUND(P19*100, 2)&amp;"% Avg. Fiscal Effort, "&amp;ROUND(Q19, 2)&amp;" Avg. Calendar Months"</f>
        <v>#DIV/0!</v>
      </c>
      <c r="B19" s="47">
        <f>O19*J19</f>
        <v>0</v>
      </c>
      <c r="C19" s="47">
        <f>IF($J$6&gt;1,IF($U$1&lt;&gt;0,IF(O19*(1+$O$6)&lt;=$U$1,O19*K19*(1+$O$6),$U$1*K19),O19*K19*(1+$O$6)),0)</f>
        <v>0</v>
      </c>
      <c r="D19" s="47">
        <f>IF($J$6&gt;2,IF($U$1&lt;&gt;0,IF(O19*(1+$O$6)^2&lt;=$U$1,O19*L19*(1+$O$6)^2,$U$1*L19),O19*L19*(1+$O$6)^2),0)</f>
        <v>0</v>
      </c>
      <c r="E19" s="47">
        <f>IF($J$6&gt;3,IF($U$1&lt;&gt;0,IF(O19*(1+$O$6)^3&lt;=$U$1,O19*M19*(1+$O$6)^3,$U$1*M19),O19*M19*(1+$O$6)^3),0)</f>
        <v>0</v>
      </c>
      <c r="F19" s="47">
        <f>IF($J$6&gt;4,IF($U$1&lt;&gt;0,IF(O19*(1+$O$6)^4&lt;=$U$1,O19*N19*(1+$O$6)^4,$U$1*N19),O19*N19*(1+$O$6)^4),0)</f>
        <v>0</v>
      </c>
      <c r="G19" s="46">
        <f>SUM(B19:F19)</f>
        <v>0</v>
      </c>
      <c r="H19" s="14"/>
      <c r="I19" s="89" t="s">
        <v>26</v>
      </c>
      <c r="J19" s="265">
        <v>0</v>
      </c>
      <c r="K19" s="265">
        <f>IF($J$6&gt;1,J19,0)</f>
        <v>0</v>
      </c>
      <c r="L19" s="265">
        <f>IF($J$6&gt;2,K19,0)</f>
        <v>0</v>
      </c>
      <c r="M19" s="265">
        <f>IF($J$6&gt;3,L19,0)</f>
        <v>0</v>
      </c>
      <c r="N19" s="265">
        <f>IF($J$6&gt;4,M19,0)</f>
        <v>0</v>
      </c>
      <c r="O19" s="128">
        <f>IF(U22="F",IF($U$1&lt;&gt;0,IF(T22&gt;$U$1,$U$1,T22),T22),0)</f>
        <v>0</v>
      </c>
      <c r="P19" s="135" t="e">
        <f>SUM(J18:N18)/(ROUNDUP($J$6,0)*12)</f>
        <v>#DIV/0!</v>
      </c>
      <c r="Q19" s="136" t="e">
        <f>(SUM(J18:N18)/(CEILING($J$6*12,12)))*12</f>
        <v>#DIV/0!</v>
      </c>
      <c r="T19" s="78"/>
      <c r="V19" s="159"/>
      <c r="X19" s="17"/>
    </row>
    <row r="20" spans="1:26" outlineLevel="1" x14ac:dyDescent="0.25">
      <c r="A20" s="376" t="e">
        <f>ROUND(P19*100,2)&amp;"% Annualized Effort, "&amp;ROUND(Q20,2)&amp;" Avg. Academic Months
"&amp;IF(SUM(J21:N21)&gt;0," and "&amp;Q21 &amp;" Avg. Summer Months", "")</f>
        <v>#DIV/0!</v>
      </c>
      <c r="B20" s="47">
        <f>J20*O20</f>
        <v>0</v>
      </c>
      <c r="C20" s="47">
        <f>IF($J$6&gt;1,IF($U$1&lt;&gt;0,IF(O20*(1+$O$6)&lt;=$U$1*0.75,O20*K20*(1+$O$6),$U$1*0.75*K20),O20*K20*(1+$O$6)),0)</f>
        <v>0</v>
      </c>
      <c r="D20" s="47">
        <f>IF($J$6&gt;2,IF($U$1&lt;&gt;0,IF(O20*(1+$O$6)^2&lt;=$U$1*0.75,O20*L20*(1+$O$6)^2,$U$1*0.75*L20),O20*L20*(1+$O$6)^2),0)</f>
        <v>0</v>
      </c>
      <c r="E20" s="47">
        <f>IF($J$6&gt;3,IF($U$1&lt;&gt;0,IF(O20*(1+$O$6)^3&lt;=$U$1*0.75,O20*M20*(1+$O$6)^3,$U$1*0.75*M20),O20*M20*(1+$O$6)^3),0)</f>
        <v>0</v>
      </c>
      <c r="F20" s="47">
        <f>IF($J$6&gt;4,IF($U$1&lt;&gt;0,IF(O20*(1+$O$6)^4&lt;=$U$1*0.75,O20*N20*(1+$O$6)^4,$U$1*0.75*N20),O20*N20*(1+$O$6)^4),0)</f>
        <v>0</v>
      </c>
      <c r="G20" s="46">
        <f>SUM(B20:F20)</f>
        <v>0</v>
      </c>
      <c r="H20" s="14"/>
      <c r="I20" s="89" t="s">
        <v>15</v>
      </c>
      <c r="J20" s="265">
        <v>0</v>
      </c>
      <c r="K20" s="265">
        <f t="shared" ref="K20:K21" si="8">IF($J$6&gt;1,J20,0)</f>
        <v>0</v>
      </c>
      <c r="L20" s="265">
        <f t="shared" ref="L20:L21" si="9">IF($J$6&gt;2,K20,0)</f>
        <v>0</v>
      </c>
      <c r="M20" s="265">
        <f t="shared" ref="M20:M21" si="10">IF($J$6&gt;3,L20,0)</f>
        <v>0</v>
      </c>
      <c r="N20" s="265">
        <f t="shared" ref="N20:N21" si="11">IF($J$6&gt;4,M20,0)</f>
        <v>0</v>
      </c>
      <c r="O20" s="128">
        <f>IF(U22="A",IF($U$1&lt;&gt;0,IF(T22&gt;($U$1/12*9),($U$1/12*9),T22),T22),0)</f>
        <v>0</v>
      </c>
      <c r="P20" s="143"/>
      <c r="Q20" s="137" t="e">
        <f>((SUM(J18:N18)-SUM(J21:N21))/(CEILING($J$6*9,9)))*9</f>
        <v>#DIV/0!</v>
      </c>
      <c r="R20" s="12"/>
      <c r="S20" s="12"/>
      <c r="T20" s="78"/>
      <c r="V20" s="159"/>
    </row>
    <row r="21" spans="1:26" outlineLevel="1" x14ac:dyDescent="0.25">
      <c r="A21" s="376"/>
      <c r="B21" s="47">
        <f>J21/3*O21</f>
        <v>0</v>
      </c>
      <c r="C21" s="47">
        <f>IF($J$6&gt;1,IF($U$1&lt;&gt;0,IF(O21*(1+$O$6)&lt;=$U$1*0.25,O21*K21/3*(1+$O$6),$U$1*0.25*K21/3),O21*K21/3*(1+$O$6)),0)</f>
        <v>0</v>
      </c>
      <c r="D21" s="47">
        <f>IF($J$6&gt;2,IF($U$1&lt;&gt;0,IF(O21*(1+$O$6)^2&lt;=$U$1*0.25,O21*L21/3*(1+$O$6)^2,$U$1*0.25*L21/3),O21*L21/3*(1+$O$6)^2),0)</f>
        <v>0</v>
      </c>
      <c r="E21" s="47">
        <f>IF($J$6&gt;3,IF($U$1&lt;&gt;0,IF(O21*(1+$O$6)^3&lt;=$U$1*0.25,O21*M21/3*(1+$O$6)^3,$U$1*0.25*M21/3),O21*M21/3*(1+$O$6)^3),0)</f>
        <v>0</v>
      </c>
      <c r="F21" s="47">
        <f>IF($J$6&gt;4,IF($U$1&lt;&gt;0,IF(O21*(1+$O$6)^4&lt;=$U$1*0.25,O21*N21/3*(1+$O$6)^4,$U$1*0.25*N21/3),O21*N21/3*(1+$O$6)^4),0)</f>
        <v>0</v>
      </c>
      <c r="G21" s="46">
        <f>SUM(B21:F21)</f>
        <v>0</v>
      </c>
      <c r="H21" s="14"/>
      <c r="I21" s="89" t="s">
        <v>17</v>
      </c>
      <c r="J21" s="266">
        <v>0</v>
      </c>
      <c r="K21" s="266">
        <f t="shared" si="8"/>
        <v>0</v>
      </c>
      <c r="L21" s="266">
        <f t="shared" si="9"/>
        <v>0</v>
      </c>
      <c r="M21" s="266">
        <f t="shared" si="10"/>
        <v>0</v>
      </c>
      <c r="N21" s="266">
        <f t="shared" si="11"/>
        <v>0</v>
      </c>
      <c r="O21" s="128">
        <f>O20*0.000731*456</f>
        <v>0</v>
      </c>
      <c r="P21" s="138"/>
      <c r="Q21" s="138" t="e">
        <f>((SUM(J18:N18)-SUM(J20:N20)*9)/(CEILING($J$6*3,3)))*3</f>
        <v>#DIV/0!</v>
      </c>
      <c r="R21" s="12"/>
      <c r="S21" s="12"/>
      <c r="V21" s="159"/>
    </row>
    <row r="22" spans="1:26" outlineLevel="1" x14ac:dyDescent="0.25">
      <c r="A22" s="18"/>
      <c r="B22" s="47"/>
      <c r="C22" s="47"/>
      <c r="D22" s="48"/>
      <c r="E22" s="48"/>
      <c r="F22" s="48"/>
      <c r="G22" s="49"/>
      <c r="H22" s="19"/>
      <c r="I22" s="149" t="s">
        <v>111</v>
      </c>
      <c r="J22" s="145">
        <f>SUM(B19:B21)*$V22</f>
        <v>0</v>
      </c>
      <c r="K22" s="145">
        <f>SUM(C19:C21)*$V22</f>
        <v>0</v>
      </c>
      <c r="L22" s="145">
        <f>SUM(D19:D21)*$V22</f>
        <v>0</v>
      </c>
      <c r="M22" s="145">
        <f>SUM(E19:E21)*$V22</f>
        <v>0</v>
      </c>
      <c r="N22" s="145">
        <f>SUM(F19:F21)*$V22</f>
        <v>0</v>
      </c>
      <c r="O22" s="21"/>
      <c r="P22" s="138"/>
      <c r="Q22" s="138"/>
      <c r="R22" s="12"/>
      <c r="S22" s="12"/>
      <c r="T22" s="272"/>
      <c r="U22" s="273"/>
      <c r="V22" s="274"/>
      <c r="W22" s="275"/>
    </row>
    <row r="23" spans="1:26" outlineLevel="1" x14ac:dyDescent="0.25">
      <c r="A23" s="361" t="s">
        <v>84</v>
      </c>
      <c r="B23" s="47"/>
      <c r="C23" s="48"/>
      <c r="D23" s="48"/>
      <c r="E23" s="48"/>
      <c r="F23" s="48"/>
      <c r="G23" s="46"/>
      <c r="I23" s="89" t="s">
        <v>132</v>
      </c>
      <c r="J23" s="166">
        <f>IF(U27="F",J24*12,SUM(J25*9,J26))</f>
        <v>0</v>
      </c>
      <c r="K23" s="166">
        <f>IF(U27="F",K24*12,SUM(K25*9,K26))</f>
        <v>0</v>
      </c>
      <c r="L23" s="166">
        <f>IF(U27="F",L24*12,SUM(L25*9,L26))</f>
        <v>0</v>
      </c>
      <c r="M23" s="166">
        <f>IF(U27="F",M24*12,SUM(M25*9,M26))</f>
        <v>0</v>
      </c>
      <c r="N23" s="166">
        <f>IF(U27="F",N24*12,SUM(N25*9,N26))</f>
        <v>0</v>
      </c>
      <c r="O23" s="41" t="s">
        <v>51</v>
      </c>
      <c r="P23" s="134" t="s">
        <v>130</v>
      </c>
      <c r="Q23" s="134" t="s">
        <v>131</v>
      </c>
      <c r="R23" s="11"/>
      <c r="S23" s="12"/>
      <c r="T23" s="78"/>
      <c r="V23" s="159"/>
    </row>
    <row r="24" spans="1:26" outlineLevel="1" x14ac:dyDescent="0.25">
      <c r="A24" s="13" t="e">
        <f>ROUND(P24*100, 2)&amp;"% Avg. Fiscal Effort, "&amp;ROUND(Q24, 2)&amp;" Avg. Calendar Months"</f>
        <v>#DIV/0!</v>
      </c>
      <c r="B24" s="47">
        <f>O24*J24</f>
        <v>0</v>
      </c>
      <c r="C24" s="47">
        <f>IF($J$6&gt;1,IF($U$1&lt;&gt;0,IF(O24*(1+$O$6)&lt;=$U$1,O24*K24*(1+$O$6),$U$1*K24),O24*K24*(1+$O$6)),0)</f>
        <v>0</v>
      </c>
      <c r="D24" s="47">
        <f>IF($J$6&gt;2,IF($U$1&lt;&gt;0,IF(O24*(1+$O$6)^2&lt;=$U$1,O24*L24*(1+$O$6)^2,$U$1*L24),O24*L24*(1+$O$6)^2),0)</f>
        <v>0</v>
      </c>
      <c r="E24" s="47">
        <f>IF($J$6&gt;3,IF($U$1&lt;&gt;0,IF(O24*(1+$O$6)^3&lt;=$U$1,O24*M24*(1+$O$6)^3,$U$1*M24),O24*M24*(1+$O$6)^3),0)</f>
        <v>0</v>
      </c>
      <c r="F24" s="47">
        <f>IF($J$6&gt;4,IF($U$1&lt;&gt;0,IF(O24*(1+$O$6)^4&lt;=$U$1,O24*N24*(1+$O$6)^4,$U$1*N24),O24*N24*(1+$O$6)^4),0)</f>
        <v>0</v>
      </c>
      <c r="G24" s="46">
        <f>SUM(B24:F24)</f>
        <v>0</v>
      </c>
      <c r="H24" s="14"/>
      <c r="I24" s="89" t="s">
        <v>26</v>
      </c>
      <c r="J24" s="265">
        <v>0</v>
      </c>
      <c r="K24" s="265">
        <f>IF($J$6&gt;1,J24,0)</f>
        <v>0</v>
      </c>
      <c r="L24" s="265">
        <f>IF($J$6&gt;2,K24,0)</f>
        <v>0</v>
      </c>
      <c r="M24" s="265">
        <f>IF($J$6&gt;3,L24,0)</f>
        <v>0</v>
      </c>
      <c r="N24" s="265">
        <f>IF($J$6&gt;4,M24,0)</f>
        <v>0</v>
      </c>
      <c r="O24" s="128">
        <f>IF(U27="F",IF($U$1&lt;&gt;0,IF(T27&gt;$U$1,$U$1,T27),T27),0)</f>
        <v>0</v>
      </c>
      <c r="P24" s="135" t="e">
        <f>SUM(J23:N23)/(ROUNDUP($J$6,0)*12)</f>
        <v>#DIV/0!</v>
      </c>
      <c r="Q24" s="136" t="e">
        <f>(SUM(J23:N23)/(CEILING($J$6*12,12)))*12</f>
        <v>#DIV/0!</v>
      </c>
      <c r="T24" s="78"/>
      <c r="V24" s="159"/>
      <c r="X24" s="17"/>
    </row>
    <row r="25" spans="1:26" outlineLevel="1" x14ac:dyDescent="0.25">
      <c r="A25" s="376" t="e">
        <f>ROUND(P24*100,2)&amp;"% Annualized Effort, "&amp;ROUND(Q25,2)&amp;" Avg. Academic Months
"&amp;IF(SUM(J26:N26)&gt;0," and "&amp;Q26 &amp;" Avg. Summer Months", "")</f>
        <v>#DIV/0!</v>
      </c>
      <c r="B25" s="47">
        <f>J25*O25</f>
        <v>0</v>
      </c>
      <c r="C25" s="47">
        <f>IF($J$6&gt;1,IF($U$1&lt;&gt;0,IF(O25*(1+$O$6)&lt;=$U$1*0.75,O25*K25*(1+$O$6),$U$1*0.75*K25),O25*K25*(1+$O$6)),0)</f>
        <v>0</v>
      </c>
      <c r="D25" s="47">
        <f>IF($J$6&gt;2,IF($U$1&lt;&gt;0,IF(O25*(1+$O$6)^2&lt;=$U$1*0.75,O25*L25*(1+$O$6)^2,$U$1*0.75*L25),O25*L25*(1+$O$6)^2),0)</f>
        <v>0</v>
      </c>
      <c r="E25" s="47">
        <f>IF($J$6&gt;3,IF($U$1&lt;&gt;0,IF(O25*(1+$O$6)^3&lt;=$U$1*0.75,O25*M25*(1+$O$6)^3,$U$1*0.75*M25),O25*M25*(1+$O$6)^3),0)</f>
        <v>0</v>
      </c>
      <c r="F25" s="47">
        <f>IF($J$6&gt;4,IF($U$1&lt;&gt;0,IF(O25*(1+$O$6)^4&lt;=$U$1*0.75,O25*N25*(1+$O$6)^4,$U$1*0.75*N25),O25*N25*(1+$O$6)^4),0)</f>
        <v>0</v>
      </c>
      <c r="G25" s="46">
        <f>SUM(B25:F25)</f>
        <v>0</v>
      </c>
      <c r="H25" s="14"/>
      <c r="I25" s="89" t="s">
        <v>15</v>
      </c>
      <c r="J25" s="265">
        <v>0</v>
      </c>
      <c r="K25" s="265">
        <f t="shared" ref="K25:K26" si="12">IF($J$6&gt;1,J25,0)</f>
        <v>0</v>
      </c>
      <c r="L25" s="265">
        <f t="shared" ref="L25:L26" si="13">IF($J$6&gt;2,K25,0)</f>
        <v>0</v>
      </c>
      <c r="M25" s="265">
        <f t="shared" ref="M25:M26" si="14">IF($J$6&gt;3,L25,0)</f>
        <v>0</v>
      </c>
      <c r="N25" s="265">
        <f t="shared" ref="N25:N26" si="15">IF($J$6&gt;4,M25,0)</f>
        <v>0</v>
      </c>
      <c r="O25" s="128">
        <f>IF(U27="A",IF($U$1&lt;&gt;0,IF(T27&gt;($U$1/12*9),($U$1/12*9),T27),T27),0)</f>
        <v>0</v>
      </c>
      <c r="P25" s="143"/>
      <c r="Q25" s="137" t="e">
        <f>((SUM(J23:N23)-SUM(J26:N26))/(CEILING($J$6*9,9)))*9</f>
        <v>#DIV/0!</v>
      </c>
      <c r="R25" s="12"/>
      <c r="S25" s="12"/>
      <c r="T25" s="78"/>
      <c r="V25" s="159"/>
    </row>
    <row r="26" spans="1:26" outlineLevel="1" x14ac:dyDescent="0.25">
      <c r="A26" s="376"/>
      <c r="B26" s="47">
        <f>J26/3*O26</f>
        <v>0</v>
      </c>
      <c r="C26" s="47">
        <f>IF($J$6&gt;1,IF($U$1&lt;&gt;0,IF(O26*(1+$O$6)&lt;=$U$1*0.25,O26*K26/3*(1+$O$6),$U$1*0.25*K26/3),O26*K26/3*(1+$O$6)),0)</f>
        <v>0</v>
      </c>
      <c r="D26" s="47">
        <f>IF($J$6&gt;2,IF($U$1&lt;&gt;0,IF(O26*(1+$O$6)^2&lt;=$U$1*0.25,O26*L26/3*(1+$O$6)^2,$U$1*0.25*L26/3),O26*L26/3*(1+$O$6)^2),0)</f>
        <v>0</v>
      </c>
      <c r="E26" s="47">
        <f>IF($J$6&gt;3,IF($U$1&lt;&gt;0,IF(O26*(1+$O$6)^3&lt;=$U$1*0.25,O26*M26/3*(1+$O$6)^3,$U$1*0.25*M26/3),O26*M26/3*(1+$O$6)^3),0)</f>
        <v>0</v>
      </c>
      <c r="F26" s="47">
        <f>IF($J$6&gt;4,IF($U$1&lt;&gt;0,IF(O26*(1+$O$6)^4&lt;=$U$1*0.25,O26*N26/3*(1+$O$6)^4,$U$1*0.25*N26/3),O26*N26/3*(1+$O$6)^4),0)</f>
        <v>0</v>
      </c>
      <c r="G26" s="46">
        <f>SUM(B26:F26)</f>
        <v>0</v>
      </c>
      <c r="H26" s="14"/>
      <c r="I26" s="89" t="s">
        <v>17</v>
      </c>
      <c r="J26" s="266">
        <v>0</v>
      </c>
      <c r="K26" s="266">
        <f t="shared" si="12"/>
        <v>0</v>
      </c>
      <c r="L26" s="266">
        <f t="shared" si="13"/>
        <v>0</v>
      </c>
      <c r="M26" s="266">
        <f t="shared" si="14"/>
        <v>0</v>
      </c>
      <c r="N26" s="266">
        <f t="shared" si="15"/>
        <v>0</v>
      </c>
      <c r="O26" s="128">
        <f>O25*0.000731*456</f>
        <v>0</v>
      </c>
      <c r="P26" s="138"/>
      <c r="Q26" s="138" t="e">
        <f>((SUM(J23:N23)-SUM(J25:N25)*9)/(CEILING($J$6*3,3)))*3</f>
        <v>#DIV/0!</v>
      </c>
      <c r="R26" s="12"/>
      <c r="S26" s="12"/>
      <c r="V26" s="159"/>
    </row>
    <row r="27" spans="1:26" outlineLevel="1" x14ac:dyDescent="0.25">
      <c r="A27" s="18"/>
      <c r="B27" s="47"/>
      <c r="C27" s="47"/>
      <c r="D27" s="48"/>
      <c r="E27" s="48"/>
      <c r="F27" s="48"/>
      <c r="G27" s="49"/>
      <c r="H27" s="19"/>
      <c r="I27" s="149" t="s">
        <v>111</v>
      </c>
      <c r="J27" s="145">
        <f>SUM(B24:B26)*$V27</f>
        <v>0</v>
      </c>
      <c r="K27" s="145">
        <f>SUM(C24:C26)*$V27</f>
        <v>0</v>
      </c>
      <c r="L27" s="145">
        <f>SUM(D24:D26)*$V27</f>
        <v>0</v>
      </c>
      <c r="M27" s="145">
        <f>SUM(E24:E26)*$V27</f>
        <v>0</v>
      </c>
      <c r="N27" s="145">
        <f>SUM(F24:F26)*$V27</f>
        <v>0</v>
      </c>
      <c r="O27" s="21"/>
      <c r="P27" s="138"/>
      <c r="Q27" s="138"/>
      <c r="R27" s="12"/>
      <c r="S27" s="12"/>
      <c r="T27" s="272"/>
      <c r="U27" s="273"/>
      <c r="V27" s="274"/>
      <c r="W27" s="275"/>
    </row>
    <row r="28" spans="1:26" outlineLevel="1" x14ac:dyDescent="0.25">
      <c r="A28" s="361" t="s">
        <v>84</v>
      </c>
      <c r="B28" s="47"/>
      <c r="C28" s="48"/>
      <c r="D28" s="48"/>
      <c r="E28" s="48"/>
      <c r="F28" s="48"/>
      <c r="G28" s="46"/>
      <c r="I28" s="89" t="s">
        <v>132</v>
      </c>
      <c r="J28" s="166">
        <f>IF(U32="F",J29*12,SUM(J30*9,J31))</f>
        <v>0</v>
      </c>
      <c r="K28" s="166">
        <f>IF(U32="F",K29*12,SUM(K30*9,K31))</f>
        <v>0</v>
      </c>
      <c r="L28" s="166">
        <f>IF(U32="F",L29*12,SUM(L30*9,L31))</f>
        <v>0</v>
      </c>
      <c r="M28" s="166">
        <f>IF(U32="F",M29*12,SUM(M30*9,M31))</f>
        <v>0</v>
      </c>
      <c r="N28" s="166">
        <f>IF(U32="F",N29*12,SUM(N30*9,N31))</f>
        <v>0</v>
      </c>
      <c r="O28" s="41" t="s">
        <v>51</v>
      </c>
      <c r="P28" s="134" t="s">
        <v>130</v>
      </c>
      <c r="Q28" s="134" t="s">
        <v>131</v>
      </c>
      <c r="R28" s="11"/>
      <c r="S28" s="12"/>
      <c r="T28" s="78"/>
      <c r="V28" s="159"/>
    </row>
    <row r="29" spans="1:26" outlineLevel="1" x14ac:dyDescent="0.25">
      <c r="A29" s="13" t="e">
        <f>ROUND(P29*100, 2)&amp;"% Avg. Fiscal Effort, "&amp;ROUND(Q29, 2)&amp;" Avg. Calendar Months"</f>
        <v>#DIV/0!</v>
      </c>
      <c r="B29" s="47">
        <f>O29*J29</f>
        <v>0</v>
      </c>
      <c r="C29" s="47">
        <f>IF($J$6&gt;1,IF($U$1&lt;&gt;0,IF(O29*(1+$O$6)&lt;=$U$1,O29*K29*(1+$O$6),$U$1*K29),O29*K29*(1+$O$6)),0)</f>
        <v>0</v>
      </c>
      <c r="D29" s="47">
        <f>IF($J$6&gt;2,IF($U$1&lt;&gt;0,IF(O29*(1+$O$6)^2&lt;=$U$1,O29*L29*(1+$O$6)^2,$U$1*L29),O29*L29*(1+$O$6)^2),0)</f>
        <v>0</v>
      </c>
      <c r="E29" s="47">
        <f>IF($J$6&gt;3,IF($U$1&lt;&gt;0,IF(O29*(1+$O$6)^3&lt;=$U$1,O29*M29*(1+$O$6)^3,$U$1*M29),O29*M29*(1+$O$6)^3),0)</f>
        <v>0</v>
      </c>
      <c r="F29" s="47">
        <f>IF($J$6&gt;4,IF($U$1&lt;&gt;0,IF(O29*(1+$O$6)^4&lt;=$U$1,O29*N29*(1+$O$6)^4,$U$1*N29),O29*N29*(1+$O$6)^4),0)</f>
        <v>0</v>
      </c>
      <c r="G29" s="46">
        <f>SUM(B29:F29)</f>
        <v>0</v>
      </c>
      <c r="H29" s="14"/>
      <c r="I29" s="89" t="s">
        <v>26</v>
      </c>
      <c r="J29" s="265">
        <v>0</v>
      </c>
      <c r="K29" s="265">
        <f>IF($J$6&gt;1,J29,0)</f>
        <v>0</v>
      </c>
      <c r="L29" s="265">
        <f>IF($J$6&gt;2,K29,0)</f>
        <v>0</v>
      </c>
      <c r="M29" s="265">
        <f>IF($J$6&gt;3,L29,0)</f>
        <v>0</v>
      </c>
      <c r="N29" s="265">
        <f>IF($J$6&gt;4,M29,0)</f>
        <v>0</v>
      </c>
      <c r="O29" s="128">
        <f>IF(U32="F",IF($U$1&lt;&gt;0,IF(T32&gt;$U$1,$U$1,T32),T32),0)</f>
        <v>0</v>
      </c>
      <c r="P29" s="135" t="e">
        <f>SUM(J28:N28)/(ROUNDUP($J$6,0)*12)</f>
        <v>#DIV/0!</v>
      </c>
      <c r="Q29" s="136" t="e">
        <f>(SUM(J28:N28)/(CEILING($J$6*12,12)))*12</f>
        <v>#DIV/0!</v>
      </c>
      <c r="T29" s="78"/>
      <c r="V29" s="159"/>
      <c r="X29" s="17"/>
    </row>
    <row r="30" spans="1:26" outlineLevel="1" x14ac:dyDescent="0.25">
      <c r="A30" s="376" t="e">
        <f>ROUND(P29*100,2)&amp;"% Annualized Effort, "&amp;ROUND(Q30,2)&amp;" Avg. Academic Months
"&amp;IF(SUM(J31:N31)&gt;0," and "&amp;Q31 &amp;" Avg. Summer Months", "")</f>
        <v>#DIV/0!</v>
      </c>
      <c r="B30" s="47">
        <f>J30*O30</f>
        <v>0</v>
      </c>
      <c r="C30" s="47">
        <f>IF($J$6&gt;1,IF($U$1&lt;&gt;0,IF(O30*(1+$O$6)&lt;=$U$1*0.75,O30*K30*(1+$O$6),$U$1*0.75*K30),O30*K30*(1+$O$6)),0)</f>
        <v>0</v>
      </c>
      <c r="D30" s="47">
        <f>IF($J$6&gt;2,IF($U$1&lt;&gt;0,IF(O30*(1+$O$6)^2&lt;=$U$1*0.75,O30*L30*(1+$O$6)^2,$U$1*0.75*L30),O30*L30*(1+$O$6)^2),0)</f>
        <v>0</v>
      </c>
      <c r="E30" s="47">
        <f>IF($J$6&gt;3,IF($U$1&lt;&gt;0,IF(O30*(1+$O$6)^3&lt;=$U$1*0.75,O30*M30*(1+$O$6)^3,$U$1*0.75*M30),O30*M30*(1+$O$6)^3),0)</f>
        <v>0</v>
      </c>
      <c r="F30" s="47">
        <f>IF($J$6&gt;4,IF($U$1&lt;&gt;0,IF(O30*(1+$O$6)^4&lt;=$U$1*0.75,O30*N30*(1+$O$6)^4,$U$1*0.75*N30),O30*N30*(1+$O$6)^4),0)</f>
        <v>0</v>
      </c>
      <c r="G30" s="46">
        <f>SUM(B30:F30)</f>
        <v>0</v>
      </c>
      <c r="H30" s="14"/>
      <c r="I30" s="89" t="s">
        <v>15</v>
      </c>
      <c r="J30" s="265">
        <v>0</v>
      </c>
      <c r="K30" s="265">
        <f t="shared" ref="K30:K31" si="16">IF($J$6&gt;1,J30,0)</f>
        <v>0</v>
      </c>
      <c r="L30" s="265">
        <f t="shared" ref="L30:L31" si="17">IF($J$6&gt;2,K30,0)</f>
        <v>0</v>
      </c>
      <c r="M30" s="265">
        <f t="shared" ref="M30:M31" si="18">IF($J$6&gt;3,L30,0)</f>
        <v>0</v>
      </c>
      <c r="N30" s="265">
        <f t="shared" ref="N30:N31" si="19">IF($J$6&gt;4,M30,0)</f>
        <v>0</v>
      </c>
      <c r="O30" s="128">
        <f>IF(U32="A",IF($U$1&lt;&gt;0,IF(T32&gt;($U$1/12*9),($U$1/12*9),T32),T32),0)</f>
        <v>0</v>
      </c>
      <c r="P30" s="143"/>
      <c r="Q30" s="137" t="e">
        <f>((SUM(J28:N28)-SUM(J31:N31))/(CEILING($J$6*9,9)))*9</f>
        <v>#DIV/0!</v>
      </c>
      <c r="R30" s="12"/>
      <c r="S30" s="12"/>
      <c r="T30" s="78"/>
      <c r="V30" s="159"/>
    </row>
    <row r="31" spans="1:26" outlineLevel="1" x14ac:dyDescent="0.25">
      <c r="A31" s="376"/>
      <c r="B31" s="47">
        <f>J31/3*O31</f>
        <v>0</v>
      </c>
      <c r="C31" s="47">
        <f>IF($J$6&gt;1,IF($U$1&lt;&gt;0,IF(O31*(1+$O$6)&lt;=$U$1*0.25,O31*K31/3*(1+$O$6),$U$1*0.25*K31/3),O31*K31/3*(1+$O$6)),0)</f>
        <v>0</v>
      </c>
      <c r="D31" s="47">
        <f>IF($J$6&gt;2,IF($U$1&lt;&gt;0,IF(O31*(1+$O$6)^2&lt;=$U$1*0.25,O31*L31/3*(1+$O$6)^2,$U$1*0.25*L31/3),O31*L31/3*(1+$O$6)^2),0)</f>
        <v>0</v>
      </c>
      <c r="E31" s="47">
        <f>IF($J$6&gt;3,IF($U$1&lt;&gt;0,IF(O31*(1+$O$6)^3&lt;=$U$1*0.25,O31*M31/3*(1+$O$6)^3,$U$1*0.25*M31/3),O31*M31/3*(1+$O$6)^3),0)</f>
        <v>0</v>
      </c>
      <c r="F31" s="47">
        <f>IF($J$6&gt;4,IF($U$1&lt;&gt;0,IF(O31*(1+$O$6)^4&lt;=$U$1*0.25,O31*N31/3*(1+$O$6)^4,$U$1*0.25*N31/3),O31*N31/3*(1+$O$6)^4),0)</f>
        <v>0</v>
      </c>
      <c r="G31" s="46">
        <f>SUM(B31:F31)</f>
        <v>0</v>
      </c>
      <c r="H31" s="14"/>
      <c r="I31" s="89" t="s">
        <v>17</v>
      </c>
      <c r="J31" s="266">
        <v>0</v>
      </c>
      <c r="K31" s="266">
        <f t="shared" si="16"/>
        <v>0</v>
      </c>
      <c r="L31" s="266">
        <f t="shared" si="17"/>
        <v>0</v>
      </c>
      <c r="M31" s="266">
        <f t="shared" si="18"/>
        <v>0</v>
      </c>
      <c r="N31" s="266">
        <f t="shared" si="19"/>
        <v>0</v>
      </c>
      <c r="O31" s="128">
        <f>O30*0.000731*456</f>
        <v>0</v>
      </c>
      <c r="P31" s="138"/>
      <c r="Q31" s="138" t="e">
        <f>((SUM(J28:N28)-SUM(J30:N30)*9)/(CEILING($J$6*3,3)))*3</f>
        <v>#DIV/0!</v>
      </c>
      <c r="R31" s="12"/>
      <c r="S31" s="12"/>
      <c r="V31" s="159"/>
    </row>
    <row r="32" spans="1:26" outlineLevel="1" x14ac:dyDescent="0.25">
      <c r="A32" s="18"/>
      <c r="B32" s="47"/>
      <c r="C32" s="47"/>
      <c r="D32" s="48"/>
      <c r="E32" s="48"/>
      <c r="F32" s="48"/>
      <c r="G32" s="49"/>
      <c r="H32" s="19"/>
      <c r="I32" s="149" t="s">
        <v>111</v>
      </c>
      <c r="J32" s="145">
        <f>SUM(B29:B31)*$V32</f>
        <v>0</v>
      </c>
      <c r="K32" s="145">
        <f>SUM(C29:C31)*$V32</f>
        <v>0</v>
      </c>
      <c r="L32" s="145">
        <f>SUM(D29:D31)*$V32</f>
        <v>0</v>
      </c>
      <c r="M32" s="145">
        <f>SUM(E29:E31)*$V32</f>
        <v>0</v>
      </c>
      <c r="N32" s="145">
        <f>SUM(F29:F31)*$V32</f>
        <v>0</v>
      </c>
      <c r="O32" s="21"/>
      <c r="P32" s="138"/>
      <c r="Q32" s="138"/>
      <c r="R32" s="12"/>
      <c r="S32" s="12"/>
      <c r="T32" s="272"/>
      <c r="U32" s="273"/>
      <c r="V32" s="274"/>
      <c r="W32" s="275"/>
    </row>
    <row r="33" spans="1:24" outlineLevel="1" x14ac:dyDescent="0.25">
      <c r="A33" s="361" t="s">
        <v>84</v>
      </c>
      <c r="B33" s="47"/>
      <c r="C33" s="48"/>
      <c r="D33" s="48"/>
      <c r="E33" s="48"/>
      <c r="F33" s="48"/>
      <c r="G33" s="46"/>
      <c r="I33" s="89" t="s">
        <v>132</v>
      </c>
      <c r="J33" s="166">
        <f>IF(U37="F",J34*12,SUM(J35*9,J36))</f>
        <v>0</v>
      </c>
      <c r="K33" s="166">
        <f>IF(U37="F",K34*12,SUM(K35*9,K36))</f>
        <v>0</v>
      </c>
      <c r="L33" s="166">
        <f>IF(U37="F",L34*12,SUM(L35*9,L36))</f>
        <v>0</v>
      </c>
      <c r="M33" s="166">
        <f>IF(U37="F",M34*12,SUM(M35*9,M36))</f>
        <v>0</v>
      </c>
      <c r="N33" s="166">
        <f>IF(U37="F",N34*12,SUM(N35*9,N36))</f>
        <v>0</v>
      </c>
      <c r="O33" s="41" t="s">
        <v>51</v>
      </c>
      <c r="P33" s="134" t="s">
        <v>130</v>
      </c>
      <c r="Q33" s="134" t="s">
        <v>131</v>
      </c>
      <c r="R33" s="11"/>
      <c r="S33" s="12"/>
      <c r="T33" s="78"/>
      <c r="V33" s="159"/>
    </row>
    <row r="34" spans="1:24" outlineLevel="1" x14ac:dyDescent="0.25">
      <c r="A34" s="13" t="e">
        <f>ROUND(P34*100, 2)&amp;"% Avg. Fiscal Effort, "&amp;ROUND(Q34, 2)&amp;" Avg. Calendar Months"</f>
        <v>#DIV/0!</v>
      </c>
      <c r="B34" s="47">
        <f>O34*J34</f>
        <v>0</v>
      </c>
      <c r="C34" s="47">
        <f>IF($J$6&gt;1,IF($U$1&lt;&gt;0,IF(O34*(1+$O$6)&lt;=$U$1,O34*K34*(1+$O$6),$U$1*K34),O34*K34*(1+$O$6)),0)</f>
        <v>0</v>
      </c>
      <c r="D34" s="47">
        <f>IF($J$6&gt;2,IF($U$1&lt;&gt;0,IF(O34*(1+$O$6)^2&lt;=$U$1,O34*L34*(1+$O$6)^2,$U$1*L34),O34*L34*(1+$O$6)^2),0)</f>
        <v>0</v>
      </c>
      <c r="E34" s="47">
        <f>IF($J$6&gt;3,IF($U$1&lt;&gt;0,IF(O34*(1+$O$6)^3&lt;=$U$1,O34*M34*(1+$O$6)^3,$U$1*M34),O34*M34*(1+$O$6)^3),0)</f>
        <v>0</v>
      </c>
      <c r="F34" s="47">
        <f>IF($J$6&gt;4,IF($U$1&lt;&gt;0,IF(O34*(1+$O$6)^4&lt;=$U$1,O34*N34*(1+$O$6)^4,$U$1*N34),O34*N34*(1+$O$6)^4),0)</f>
        <v>0</v>
      </c>
      <c r="G34" s="46">
        <f>SUM(B34:F34)</f>
        <v>0</v>
      </c>
      <c r="H34" s="14"/>
      <c r="I34" s="89" t="s">
        <v>26</v>
      </c>
      <c r="J34" s="265">
        <v>0</v>
      </c>
      <c r="K34" s="265">
        <f>IF($J$6&gt;1,J34,0)</f>
        <v>0</v>
      </c>
      <c r="L34" s="265">
        <f>IF($J$6&gt;2,K34,0)</f>
        <v>0</v>
      </c>
      <c r="M34" s="265">
        <f>IF($J$6&gt;3,L34,0)</f>
        <v>0</v>
      </c>
      <c r="N34" s="265">
        <f>IF($J$6&gt;4,M34,0)</f>
        <v>0</v>
      </c>
      <c r="O34" s="128">
        <f>IF(U37="F",IF($U$1&lt;&gt;0,IF(T37&gt;$U$1,$U$1,T37),T37),0)</f>
        <v>0</v>
      </c>
      <c r="P34" s="135" t="e">
        <f>SUM(J33:N33)/(ROUNDUP($J$6,0)*12)</f>
        <v>#DIV/0!</v>
      </c>
      <c r="Q34" s="136" t="e">
        <f>(SUM(J33:N33)/(CEILING($J$6*12,12)))*12</f>
        <v>#DIV/0!</v>
      </c>
      <c r="T34" s="78"/>
      <c r="V34" s="159"/>
      <c r="X34" s="17"/>
    </row>
    <row r="35" spans="1:24" outlineLevel="1" x14ac:dyDescent="0.25">
      <c r="A35" s="376" t="e">
        <f>ROUND(P34*100,2)&amp;"% Annualized Effort, "&amp;ROUND(Q35,2)&amp;" Avg. Academic Months
"&amp;IF(SUM(J36:N36)&gt;0," and "&amp;Q36 &amp;" Avg. Summer Months", "")</f>
        <v>#DIV/0!</v>
      </c>
      <c r="B35" s="47">
        <f>J35*O35</f>
        <v>0</v>
      </c>
      <c r="C35" s="47">
        <f>IF($J$6&gt;1,IF($U$1&lt;&gt;0,IF(O35*(1+$O$6)&lt;=$U$1*0.75,O35*K35*(1+$O$6),$U$1*0.75*K35),O35*K35*(1+$O$6)),0)</f>
        <v>0</v>
      </c>
      <c r="D35" s="47">
        <f>IF($J$6&gt;2,IF($U$1&lt;&gt;0,IF(O35*(1+$O$6)^2&lt;=$U$1*0.75,O35*L35*(1+$O$6)^2,$U$1*0.75*L35),O35*L35*(1+$O$6)^2),0)</f>
        <v>0</v>
      </c>
      <c r="E35" s="47">
        <f>IF($J$6&gt;3,IF($U$1&lt;&gt;0,IF(O35*(1+$O$6)^3&lt;=$U$1*0.75,O35*M35*(1+$O$6)^3,$U$1*0.75*M35),O35*M35*(1+$O$6)^3),0)</f>
        <v>0</v>
      </c>
      <c r="F35" s="47">
        <f>IF($J$6&gt;4,IF($U$1&lt;&gt;0,IF(O35*(1+$O$6)^4&lt;=$U$1*0.75,O35*N35*(1+$O$6)^4,$U$1*0.75*N35),O35*N35*(1+$O$6)^4),0)</f>
        <v>0</v>
      </c>
      <c r="G35" s="46">
        <f>SUM(B35:F35)</f>
        <v>0</v>
      </c>
      <c r="H35" s="14"/>
      <c r="I35" s="89" t="s">
        <v>15</v>
      </c>
      <c r="J35" s="265">
        <v>0</v>
      </c>
      <c r="K35" s="265">
        <f t="shared" ref="K35:K36" si="20">IF($J$6&gt;1,J35,0)</f>
        <v>0</v>
      </c>
      <c r="L35" s="265">
        <f t="shared" ref="L35:L36" si="21">IF($J$6&gt;2,K35,0)</f>
        <v>0</v>
      </c>
      <c r="M35" s="265">
        <f t="shared" ref="M35:M36" si="22">IF($J$6&gt;3,L35,0)</f>
        <v>0</v>
      </c>
      <c r="N35" s="265">
        <f t="shared" ref="N35:N36" si="23">IF($J$6&gt;4,M35,0)</f>
        <v>0</v>
      </c>
      <c r="O35" s="128">
        <f>IF(U37="A",IF($U$1&lt;&gt;0,IF(T37&gt;($U$1/12*9),($U$1/12*9),T37),T37),0)</f>
        <v>0</v>
      </c>
      <c r="P35" s="143"/>
      <c r="Q35" s="137" t="e">
        <f>((SUM(J33:N33)-SUM(J36:N36))/(CEILING($J$6*9,9)))*9</f>
        <v>#DIV/0!</v>
      </c>
      <c r="R35" s="12"/>
      <c r="S35" s="12"/>
      <c r="T35" s="78"/>
      <c r="V35" s="159"/>
    </row>
    <row r="36" spans="1:24" outlineLevel="1" x14ac:dyDescent="0.25">
      <c r="A36" s="376"/>
      <c r="B36" s="47">
        <f>J36/3*O36</f>
        <v>0</v>
      </c>
      <c r="C36" s="47">
        <f>IF($J$6&gt;1,IF($U$1&lt;&gt;0,IF(O36*(1+$O$6)&lt;=$U$1*0.25,O36*K36/3*(1+$O$6),$U$1*0.25*K36/3),O36*K36/3*(1+$O$6)),0)</f>
        <v>0</v>
      </c>
      <c r="D36" s="47">
        <f>IF($J$6&gt;2,IF($U$1&lt;&gt;0,IF(O36*(1+$O$6)^2&lt;=$U$1*0.25,O36*L36/3*(1+$O$6)^2,$U$1*0.25*L36/3),O36*L36/3*(1+$O$6)^2),0)</f>
        <v>0</v>
      </c>
      <c r="E36" s="47">
        <f>IF($J$6&gt;3,IF($U$1&lt;&gt;0,IF(O36*(1+$O$6)^3&lt;=$U$1*0.25,O36*M36/3*(1+$O$6)^3,$U$1*0.25*M36/3),O36*M36/3*(1+$O$6)^3),0)</f>
        <v>0</v>
      </c>
      <c r="F36" s="47">
        <f>IF($J$6&gt;4,IF($U$1&lt;&gt;0,IF(O36*(1+$O$6)^4&lt;=$U$1*0.25,O36*N36/3*(1+$O$6)^4,$U$1*0.25*N36/3),O36*N36/3*(1+$O$6)^4),0)</f>
        <v>0</v>
      </c>
      <c r="G36" s="46">
        <f>SUM(B36:F36)</f>
        <v>0</v>
      </c>
      <c r="H36" s="14"/>
      <c r="I36" s="89" t="s">
        <v>17</v>
      </c>
      <c r="J36" s="266">
        <v>0</v>
      </c>
      <c r="K36" s="266">
        <f t="shared" si="20"/>
        <v>0</v>
      </c>
      <c r="L36" s="266">
        <f t="shared" si="21"/>
        <v>0</v>
      </c>
      <c r="M36" s="266">
        <f t="shared" si="22"/>
        <v>0</v>
      </c>
      <c r="N36" s="266">
        <f t="shared" si="23"/>
        <v>0</v>
      </c>
      <c r="O36" s="128">
        <f>O35*0.000731*456</f>
        <v>0</v>
      </c>
      <c r="P36" s="138"/>
      <c r="Q36" s="138" t="e">
        <f>((SUM(J33:N33)-SUM(J35:N35)*9)/(CEILING($J$6*3,3)))*3</f>
        <v>#DIV/0!</v>
      </c>
      <c r="R36" s="12"/>
      <c r="S36" s="12"/>
      <c r="V36" s="159"/>
    </row>
    <row r="37" spans="1:24" outlineLevel="1" x14ac:dyDescent="0.25">
      <c r="A37" s="18"/>
      <c r="B37" s="47"/>
      <c r="C37" s="47"/>
      <c r="D37" s="48"/>
      <c r="E37" s="48"/>
      <c r="F37" s="48"/>
      <c r="G37" s="49"/>
      <c r="H37" s="19"/>
      <c r="I37" s="149" t="s">
        <v>111</v>
      </c>
      <c r="J37" s="145">
        <f>SUM(B34:B36)*$V37</f>
        <v>0</v>
      </c>
      <c r="K37" s="145">
        <f>SUM(C34:C36)*$V37</f>
        <v>0</v>
      </c>
      <c r="L37" s="145">
        <f>SUM(D34:D36)*$V37</f>
        <v>0</v>
      </c>
      <c r="M37" s="145">
        <f>SUM(E34:E36)*$V37</f>
        <v>0</v>
      </c>
      <c r="N37" s="145">
        <f>SUM(F34:F36)*$V37</f>
        <v>0</v>
      </c>
      <c r="O37" s="21"/>
      <c r="P37" s="138"/>
      <c r="Q37" s="138"/>
      <c r="R37" s="12"/>
      <c r="S37" s="12"/>
      <c r="T37" s="272"/>
      <c r="U37" s="273"/>
      <c r="V37" s="274"/>
      <c r="W37" s="275"/>
    </row>
    <row r="38" spans="1:24" hidden="1" outlineLevel="1" x14ac:dyDescent="0.25">
      <c r="A38" s="361" t="s">
        <v>84</v>
      </c>
      <c r="B38" s="47"/>
      <c r="C38" s="48"/>
      <c r="D38" s="48"/>
      <c r="E38" s="48"/>
      <c r="F38" s="48"/>
      <c r="G38" s="46"/>
      <c r="I38" s="89" t="s">
        <v>132</v>
      </c>
      <c r="J38" s="166">
        <f>IF(U42="F",J39*12,SUM(J40*9,J41))</f>
        <v>0</v>
      </c>
      <c r="K38" s="166">
        <f>IF(U42="F",K39*12,SUM(K40*9,K41))</f>
        <v>0</v>
      </c>
      <c r="L38" s="166">
        <f>IF(U42="F",L39*12,SUM(L40*9,L41))</f>
        <v>0</v>
      </c>
      <c r="M38" s="166">
        <f>IF(U42="F",M39*12,SUM(M40*9,M41))</f>
        <v>0</v>
      </c>
      <c r="N38" s="166">
        <f>IF(U42="F",N39*12,SUM(N40*9,N41))</f>
        <v>0</v>
      </c>
      <c r="O38" s="41" t="s">
        <v>51</v>
      </c>
      <c r="P38" s="134" t="s">
        <v>130</v>
      </c>
      <c r="Q38" s="134" t="s">
        <v>131</v>
      </c>
      <c r="R38" s="11"/>
      <c r="S38" s="12"/>
      <c r="T38" s="78"/>
      <c r="V38" s="159"/>
    </row>
    <row r="39" spans="1:24" hidden="1" outlineLevel="1" x14ac:dyDescent="0.25">
      <c r="A39" s="13" t="e">
        <f>ROUND(P39*100, 2)&amp;"% Avg. Fiscal Effort, "&amp;ROUND(Q39, 2)&amp;" Avg. Calendar Months"</f>
        <v>#DIV/0!</v>
      </c>
      <c r="B39" s="47">
        <f>O39*J39</f>
        <v>0</v>
      </c>
      <c r="C39" s="47">
        <f>IF($J$6&gt;1,IF($U$1&lt;&gt;0,IF(O39*(1+$O$6)&lt;=$U$1,O39*K39*(1+$O$6),$U$1*K39),O39*K39*(1+$O$6)),0)</f>
        <v>0</v>
      </c>
      <c r="D39" s="47">
        <f>IF($J$6&gt;2,IF($U$1&lt;&gt;0,IF(O39*(1+$O$6)^2&lt;=$U$1,O39*L39*(1+$O$6)^2,$U$1*L39),O39*L39*(1+$O$6)^2),0)</f>
        <v>0</v>
      </c>
      <c r="E39" s="47">
        <f>IF($J$6&gt;3,IF($U$1&lt;&gt;0,IF(O39*(1+$O$6)^3&lt;=$U$1,O39*M39*(1+$O$6)^3,$U$1*M39),O39*M39*(1+$O$6)^3),0)</f>
        <v>0</v>
      </c>
      <c r="F39" s="47">
        <f>IF($J$6&gt;4,IF($U$1&lt;&gt;0,IF(O39*(1+$O$6)^4&lt;=$U$1,O39*N39*(1+$O$6)^4,$U$1*N39),O39*N39*(1+$O$6)^4),0)</f>
        <v>0</v>
      </c>
      <c r="G39" s="46">
        <f>SUM(B39:F39)</f>
        <v>0</v>
      </c>
      <c r="H39" s="14"/>
      <c r="I39" s="89" t="s">
        <v>26</v>
      </c>
      <c r="J39" s="265">
        <v>0</v>
      </c>
      <c r="K39" s="265">
        <f>IF($J$6&gt;1,J39,0)</f>
        <v>0</v>
      </c>
      <c r="L39" s="265">
        <f>IF($J$6&gt;2,K39,0)</f>
        <v>0</v>
      </c>
      <c r="M39" s="265">
        <f>IF($J$6&gt;3,L39,0)</f>
        <v>0</v>
      </c>
      <c r="N39" s="265">
        <f>IF($J$6&gt;4,M39,0)</f>
        <v>0</v>
      </c>
      <c r="O39" s="128">
        <f>IF(U42="F",IF($U$1&lt;&gt;0,IF(T42&gt;$U$1,$U$1,T42),T42),0)</f>
        <v>0</v>
      </c>
      <c r="P39" s="135" t="e">
        <f>SUM(J38:N38)/(ROUNDUP($J$6,0)*12)</f>
        <v>#DIV/0!</v>
      </c>
      <c r="Q39" s="136" t="e">
        <f>(SUM(J38:N38)/(CEILING($J$6*12,12)))*12</f>
        <v>#DIV/0!</v>
      </c>
      <c r="T39" s="78"/>
      <c r="V39" s="159"/>
      <c r="X39" s="17"/>
    </row>
    <row r="40" spans="1:24" hidden="1" outlineLevel="1" x14ac:dyDescent="0.25">
      <c r="A40" s="376" t="e">
        <f>ROUND(P39*100,2)&amp;"% Annualized Effort, "&amp;ROUND(Q40,2)&amp;" Avg. Academic Months
"&amp;IF(SUM(J41:N41)&gt;0," and "&amp;Q41 &amp;" Avg. Summer Months", "")</f>
        <v>#DIV/0!</v>
      </c>
      <c r="B40" s="47">
        <f>J40*O40</f>
        <v>0</v>
      </c>
      <c r="C40" s="47">
        <f>IF($J$6&gt;1,IF($U$1&lt;&gt;0,IF(O40*(1+$O$6)&lt;=$U$1*0.75,O40*K40*(1+$O$6),$U$1*0.75*K40),O40*K40*(1+$O$6)),0)</f>
        <v>0</v>
      </c>
      <c r="D40" s="47">
        <f>IF($J$6&gt;2,IF($U$1&lt;&gt;0,IF(O40*(1+$O$6)^2&lt;=$U$1*0.75,O40*L40*(1+$O$6)^2,$U$1*0.75*L40),O40*L40*(1+$O$6)^2),0)</f>
        <v>0</v>
      </c>
      <c r="E40" s="47">
        <f>IF($J$6&gt;3,IF($U$1&lt;&gt;0,IF(O40*(1+$O$6)^3&lt;=$U$1*0.75,O40*M40*(1+$O$6)^3,$U$1*0.75*M40),O40*M40*(1+$O$6)^3),0)</f>
        <v>0</v>
      </c>
      <c r="F40" s="47">
        <f>IF($J$6&gt;4,IF($U$1&lt;&gt;0,IF(O40*(1+$O$6)^4&lt;=$U$1*0.75,O40*N40*(1+$O$6)^4,$U$1*0.75*N40),O40*N40*(1+$O$6)^4),0)</f>
        <v>0</v>
      </c>
      <c r="G40" s="46">
        <f>SUM(B40:F40)</f>
        <v>0</v>
      </c>
      <c r="H40" s="14"/>
      <c r="I40" s="89" t="s">
        <v>15</v>
      </c>
      <c r="J40" s="265">
        <v>0</v>
      </c>
      <c r="K40" s="265">
        <f t="shared" ref="K40:K41" si="24">IF($J$6&gt;1,J40,0)</f>
        <v>0</v>
      </c>
      <c r="L40" s="265">
        <f t="shared" ref="L40:L41" si="25">IF($J$6&gt;2,K40,0)</f>
        <v>0</v>
      </c>
      <c r="M40" s="265">
        <f t="shared" ref="M40:M41" si="26">IF($J$6&gt;3,L40,0)</f>
        <v>0</v>
      </c>
      <c r="N40" s="265">
        <f t="shared" ref="N40:N41" si="27">IF($J$6&gt;4,M40,0)</f>
        <v>0</v>
      </c>
      <c r="O40" s="128">
        <f>IF(U42="A",IF($U$1&lt;&gt;0,IF(T42&gt;($U$1/12*9),($U$1/12*9),T42),T42),0)</f>
        <v>0</v>
      </c>
      <c r="P40" s="143"/>
      <c r="Q40" s="137" t="e">
        <f>((SUM(J38:N38)-SUM(J41:N41))/(CEILING($J$6*9,9)))*9</f>
        <v>#DIV/0!</v>
      </c>
      <c r="R40" s="12"/>
      <c r="S40" s="12"/>
      <c r="T40" s="78"/>
      <c r="V40" s="159"/>
    </row>
    <row r="41" spans="1:24" hidden="1" outlineLevel="1" x14ac:dyDescent="0.25">
      <c r="A41" s="376"/>
      <c r="B41" s="47">
        <f>J41/3*O41</f>
        <v>0</v>
      </c>
      <c r="C41" s="47">
        <f>IF($J$6&gt;1,IF($U$1&lt;&gt;0,IF(O41*(1+$O$6)&lt;=$U$1*0.25,O41*K41/3*(1+$O$6),$U$1*0.25*K41/3),O41*K41/3*(1+$O$6)),0)</f>
        <v>0</v>
      </c>
      <c r="D41" s="47">
        <f>IF($J$6&gt;2,IF($U$1&lt;&gt;0,IF(O41*(1+$O$6)^2&lt;=$U$1*0.25,O41*L41/3*(1+$O$6)^2,$U$1*0.25*L41/3),O41*L41/3*(1+$O$6)^2),0)</f>
        <v>0</v>
      </c>
      <c r="E41" s="47">
        <f>IF($J$6&gt;3,IF($U$1&lt;&gt;0,IF(O41*(1+$O$6)^3&lt;=$U$1*0.25,O41*M41/3*(1+$O$6)^3,$U$1*0.25*M41/3),O41*M41/3*(1+$O$6)^3),0)</f>
        <v>0</v>
      </c>
      <c r="F41" s="47">
        <f>IF($J$6&gt;4,IF($U$1&lt;&gt;0,IF(O41*(1+$O$6)^4&lt;=$U$1*0.25,O41*N41/3*(1+$O$6)^4,$U$1*0.25*N41/3),O41*N41/3*(1+$O$6)^4),0)</f>
        <v>0</v>
      </c>
      <c r="G41" s="46">
        <f>SUM(B41:F41)</f>
        <v>0</v>
      </c>
      <c r="H41" s="14"/>
      <c r="I41" s="89" t="s">
        <v>17</v>
      </c>
      <c r="J41" s="266">
        <v>0</v>
      </c>
      <c r="K41" s="266">
        <f t="shared" si="24"/>
        <v>0</v>
      </c>
      <c r="L41" s="266">
        <f t="shared" si="25"/>
        <v>0</v>
      </c>
      <c r="M41" s="266">
        <f t="shared" si="26"/>
        <v>0</v>
      </c>
      <c r="N41" s="266">
        <f t="shared" si="27"/>
        <v>0</v>
      </c>
      <c r="O41" s="128">
        <f>O40*0.000731*456</f>
        <v>0</v>
      </c>
      <c r="P41" s="138"/>
      <c r="Q41" s="138" t="e">
        <f>((SUM(J38:N38)-SUM(J40:N40)*9)/(CEILING($J$6*3,3)))*3</f>
        <v>#DIV/0!</v>
      </c>
      <c r="R41" s="12"/>
      <c r="S41" s="12"/>
      <c r="V41" s="159"/>
    </row>
    <row r="42" spans="1:24" hidden="1" outlineLevel="1" x14ac:dyDescent="0.25">
      <c r="A42" s="18"/>
      <c r="B42" s="47"/>
      <c r="C42" s="47"/>
      <c r="D42" s="48"/>
      <c r="E42" s="48"/>
      <c r="F42" s="48"/>
      <c r="G42" s="49"/>
      <c r="H42" s="19"/>
      <c r="I42" s="149" t="s">
        <v>111</v>
      </c>
      <c r="J42" s="145">
        <f>SUM(B39:B41)*$V42</f>
        <v>0</v>
      </c>
      <c r="K42" s="145">
        <f>SUM(C39:C41)*$V42</f>
        <v>0</v>
      </c>
      <c r="L42" s="145">
        <f>SUM(D39:D41)*$V42</f>
        <v>0</v>
      </c>
      <c r="M42" s="145">
        <f>SUM(E39:E41)*$V42</f>
        <v>0</v>
      </c>
      <c r="N42" s="145">
        <f>SUM(F39:F41)*$V42</f>
        <v>0</v>
      </c>
      <c r="O42" s="21"/>
      <c r="P42" s="138"/>
      <c r="Q42" s="138"/>
      <c r="R42" s="12"/>
      <c r="S42" s="12"/>
      <c r="T42" s="272"/>
      <c r="U42" s="273"/>
      <c r="V42" s="274"/>
      <c r="W42" s="275"/>
    </row>
    <row r="43" spans="1:24" hidden="1" outlineLevel="1" x14ac:dyDescent="0.25">
      <c r="A43" s="361" t="s">
        <v>84</v>
      </c>
      <c r="B43" s="47"/>
      <c r="C43" s="48"/>
      <c r="D43" s="48"/>
      <c r="E43" s="48"/>
      <c r="F43" s="48"/>
      <c r="G43" s="46"/>
      <c r="I43" s="89" t="s">
        <v>132</v>
      </c>
      <c r="J43" s="166">
        <f>IF(U47="F",J44*12,SUM(J45*9,J46))</f>
        <v>0</v>
      </c>
      <c r="K43" s="166">
        <f>IF(U47="F",K44*12,SUM(K45*9,K46))</f>
        <v>0</v>
      </c>
      <c r="L43" s="166">
        <f>IF(U47="F",L44*12,SUM(L45*9,L46))</f>
        <v>0</v>
      </c>
      <c r="M43" s="166">
        <f>IF(U47="F",M44*12,SUM(M45*9,M46))</f>
        <v>0</v>
      </c>
      <c r="N43" s="166">
        <f>IF(U47="F",N44*12,SUM(N45*9,N46))</f>
        <v>0</v>
      </c>
      <c r="O43" s="41" t="s">
        <v>51</v>
      </c>
      <c r="P43" s="134" t="s">
        <v>130</v>
      </c>
      <c r="Q43" s="134" t="s">
        <v>131</v>
      </c>
      <c r="R43" s="11"/>
      <c r="S43" s="12"/>
      <c r="T43" s="78"/>
      <c r="V43" s="159"/>
    </row>
    <row r="44" spans="1:24" hidden="1" outlineLevel="1" x14ac:dyDescent="0.25">
      <c r="A44" s="13" t="e">
        <f>ROUND(P44*100, 2)&amp;"% Avg. Fiscal Effort, "&amp;ROUND(Q44, 2)&amp;" Avg. Calendar Months"</f>
        <v>#DIV/0!</v>
      </c>
      <c r="B44" s="47">
        <f>O44*J44</f>
        <v>0</v>
      </c>
      <c r="C44" s="47">
        <f>IF($J$6&gt;1,IF($U$1&lt;&gt;0,IF(O44*(1+$O$6)&lt;=$U$1,O44*K44*(1+$O$6),$U$1*K44),O44*K44*(1+$O$6)),0)</f>
        <v>0</v>
      </c>
      <c r="D44" s="47">
        <f>IF($J$6&gt;2,IF($U$1&lt;&gt;0,IF(O44*(1+$O$6)^2&lt;=$U$1,O44*L44*(1+$O$6)^2,$U$1*L44),O44*L44*(1+$O$6)^2),0)</f>
        <v>0</v>
      </c>
      <c r="E44" s="47">
        <f>IF($J$6&gt;3,IF($U$1&lt;&gt;0,IF(O44*(1+$O$6)^3&lt;=$U$1,O44*M44*(1+$O$6)^3,$U$1*M44),O44*M44*(1+$O$6)^3),0)</f>
        <v>0</v>
      </c>
      <c r="F44" s="47">
        <f>IF($J$6&gt;4,IF($U$1&lt;&gt;0,IF(O44*(1+$O$6)^4&lt;=$U$1,O44*N44*(1+$O$6)^4,$U$1*N44),O44*N44*(1+$O$6)^4),0)</f>
        <v>0</v>
      </c>
      <c r="G44" s="46">
        <f>SUM(B44:F44)</f>
        <v>0</v>
      </c>
      <c r="H44" s="14"/>
      <c r="I44" s="89" t="s">
        <v>26</v>
      </c>
      <c r="J44" s="265">
        <v>0</v>
      </c>
      <c r="K44" s="265">
        <f>IF($J$6&gt;1,J44,0)</f>
        <v>0</v>
      </c>
      <c r="L44" s="265">
        <f>IF($J$6&gt;2,K44,0)</f>
        <v>0</v>
      </c>
      <c r="M44" s="265">
        <f>IF($J$6&gt;3,L44,0)</f>
        <v>0</v>
      </c>
      <c r="N44" s="265">
        <f>IF($J$6&gt;4,M44,0)</f>
        <v>0</v>
      </c>
      <c r="O44" s="128">
        <f>IF(U47="F",IF($U$1&lt;&gt;0,IF(T47&gt;$U$1,$U$1,T47),T47),0)</f>
        <v>0</v>
      </c>
      <c r="P44" s="135" t="e">
        <f>SUM(J43:N43)/(ROUNDUP($J$6,0)*12)</f>
        <v>#DIV/0!</v>
      </c>
      <c r="Q44" s="136" t="e">
        <f>(SUM(J43:N43)/(CEILING($J$6*12,12)))*12</f>
        <v>#DIV/0!</v>
      </c>
      <c r="T44" s="78"/>
      <c r="V44" s="159"/>
      <c r="X44" s="17"/>
    </row>
    <row r="45" spans="1:24" ht="15.75" hidden="1" customHeight="1" outlineLevel="1" x14ac:dyDescent="0.25">
      <c r="A45" s="376" t="e">
        <f>ROUND(P44*100,2)&amp;"% Annualized Effort, "&amp;ROUND(Q45,2)&amp;" Avg. Academic Months
"&amp;IF(SUM(J46:N46)&gt;0," and "&amp;Q46 &amp;" Avg. Summer Months", "")</f>
        <v>#DIV/0!</v>
      </c>
      <c r="B45" s="47">
        <f>J45*O45</f>
        <v>0</v>
      </c>
      <c r="C45" s="47">
        <f>IF($J$6&gt;1,IF($U$1&lt;&gt;0,IF(O45*(1+$O$6)&lt;=$U$1*0.75,O45*K45*(1+$O$6),$U$1*0.75*K45),O45*K45*(1+$O$6)),0)</f>
        <v>0</v>
      </c>
      <c r="D45" s="47">
        <f>IF($J$6&gt;2,IF($U$1&lt;&gt;0,IF(O45*(1+$O$6)^2&lt;=$U$1*0.75,O45*L45*(1+$O$6)^2,$U$1*0.75*L45),O45*L45*(1+$O$6)^2),0)</f>
        <v>0</v>
      </c>
      <c r="E45" s="47">
        <f>IF($J$6&gt;3,IF($U$1&lt;&gt;0,IF(O45*(1+$O$6)^3&lt;=$U$1*0.75,O45*M45*(1+$O$6)^3,$U$1*0.75*M45),O45*M45*(1+$O$6)^3),0)</f>
        <v>0</v>
      </c>
      <c r="F45" s="47">
        <f>IF($J$6&gt;4,IF($U$1&lt;&gt;0,IF(O45*(1+$O$6)^4&lt;=$U$1*0.75,O45*N45*(1+$O$6)^4,$U$1*0.75*N45),O45*N45*(1+$O$6)^4),0)</f>
        <v>0</v>
      </c>
      <c r="G45" s="46">
        <f>SUM(B45:F45)</f>
        <v>0</v>
      </c>
      <c r="H45" s="14"/>
      <c r="I45" s="89" t="s">
        <v>15</v>
      </c>
      <c r="J45" s="265">
        <v>0</v>
      </c>
      <c r="K45" s="265">
        <f t="shared" ref="K45:K46" si="28">IF($J$6&gt;1,J45,0)</f>
        <v>0</v>
      </c>
      <c r="L45" s="265">
        <f t="shared" ref="L45:L46" si="29">IF($J$6&gt;2,K45,0)</f>
        <v>0</v>
      </c>
      <c r="M45" s="265">
        <f t="shared" ref="M45:M46" si="30">IF($J$6&gt;3,L45,0)</f>
        <v>0</v>
      </c>
      <c r="N45" s="265">
        <f t="shared" ref="N45:N46" si="31">IF($J$6&gt;4,M45,0)</f>
        <v>0</v>
      </c>
      <c r="O45" s="128">
        <f>IF(U47="A",IF($U$1&lt;&gt;0,IF(T47&gt;($U$1/12*9),($U$1/12*9),T47),T47),0)</f>
        <v>0</v>
      </c>
      <c r="P45" s="143"/>
      <c r="Q45" s="137" t="e">
        <f>((SUM(J43:N43)-SUM(J46:N46))/(CEILING($J$6*9,9)))*9</f>
        <v>#DIV/0!</v>
      </c>
      <c r="R45" s="12"/>
      <c r="S45" s="12"/>
      <c r="T45" s="78"/>
      <c r="V45" s="159"/>
    </row>
    <row r="46" spans="1:24" hidden="1" outlineLevel="1" x14ac:dyDescent="0.25">
      <c r="A46" s="376"/>
      <c r="B46" s="47">
        <f>J46/3*O46</f>
        <v>0</v>
      </c>
      <c r="C46" s="47">
        <f>IF($J$6&gt;1,IF($U$1&lt;&gt;0,IF(O46*(1+$O$6)&lt;=$U$1*0.25,O46*K46/3*(1+$O$6),$U$1*0.25*K46/3),O46*K46/3*(1+$O$6)),0)</f>
        <v>0</v>
      </c>
      <c r="D46" s="47">
        <f>IF($J$6&gt;2,IF($U$1&lt;&gt;0,IF(O46*(1+$O$6)^2&lt;=$U$1*0.25,O46*L46/3*(1+$O$6)^2,$U$1*0.25*L46/3),O46*L46/3*(1+$O$6)^2),0)</f>
        <v>0</v>
      </c>
      <c r="E46" s="47">
        <f>IF($J$6&gt;3,IF($U$1&lt;&gt;0,IF(O46*(1+$O$6)^3&lt;=$U$1*0.25,O46*M46/3*(1+$O$6)^3,$U$1*0.25*M46/3),O46*M46/3*(1+$O$6)^3),0)</f>
        <v>0</v>
      </c>
      <c r="F46" s="47">
        <f>IF($J$6&gt;4,IF($U$1&lt;&gt;0,IF(O46*(1+$O$6)^4&lt;=$U$1*0.25,O46*N46/3*(1+$O$6)^4,$U$1*0.25*N46/3),O46*N46/3*(1+$O$6)^4),0)</f>
        <v>0</v>
      </c>
      <c r="G46" s="46">
        <f>SUM(B46:F46)</f>
        <v>0</v>
      </c>
      <c r="H46" s="14"/>
      <c r="I46" s="89" t="s">
        <v>17</v>
      </c>
      <c r="J46" s="266">
        <v>0</v>
      </c>
      <c r="K46" s="266">
        <f t="shared" si="28"/>
        <v>0</v>
      </c>
      <c r="L46" s="266">
        <f t="shared" si="29"/>
        <v>0</v>
      </c>
      <c r="M46" s="266">
        <f t="shared" si="30"/>
        <v>0</v>
      </c>
      <c r="N46" s="266">
        <f t="shared" si="31"/>
        <v>0</v>
      </c>
      <c r="O46" s="128">
        <f>O45*0.000731*456</f>
        <v>0</v>
      </c>
      <c r="P46" s="138"/>
      <c r="Q46" s="138" t="e">
        <f>((SUM(J43:N43)-SUM(J45:N45)*9)/(CEILING($J$6*3,3)))*3</f>
        <v>#DIV/0!</v>
      </c>
      <c r="R46" s="12"/>
      <c r="S46" s="12"/>
      <c r="V46" s="159"/>
    </row>
    <row r="47" spans="1:24" hidden="1" outlineLevel="1" x14ac:dyDescent="0.25">
      <c r="A47" s="18"/>
      <c r="B47" s="47"/>
      <c r="C47" s="47"/>
      <c r="D47" s="48"/>
      <c r="E47" s="48"/>
      <c r="F47" s="48"/>
      <c r="G47" s="49"/>
      <c r="H47" s="19"/>
      <c r="I47" s="149" t="s">
        <v>111</v>
      </c>
      <c r="J47" s="145">
        <f>SUM(B44:B46)*$V47</f>
        <v>0</v>
      </c>
      <c r="K47" s="145">
        <f>SUM(C44:C46)*$V47</f>
        <v>0</v>
      </c>
      <c r="L47" s="145">
        <f>SUM(D44:D46)*$V47</f>
        <v>0</v>
      </c>
      <c r="M47" s="145">
        <f>SUM(E44:E46)*$V47</f>
        <v>0</v>
      </c>
      <c r="N47" s="145">
        <f>SUM(F44:F46)*$V47</f>
        <v>0</v>
      </c>
      <c r="O47" s="21"/>
      <c r="P47" s="138"/>
      <c r="Q47" s="138"/>
      <c r="R47" s="12"/>
      <c r="S47" s="12"/>
      <c r="T47" s="272"/>
      <c r="U47" s="273"/>
      <c r="V47" s="274"/>
      <c r="W47" s="275"/>
    </row>
    <row r="48" spans="1:24" hidden="1" outlineLevel="1" x14ac:dyDescent="0.25">
      <c r="A48" s="361" t="s">
        <v>84</v>
      </c>
      <c r="B48" s="47"/>
      <c r="C48" s="48"/>
      <c r="D48" s="48"/>
      <c r="E48" s="48"/>
      <c r="F48" s="48"/>
      <c r="G48" s="46"/>
      <c r="I48" s="89" t="s">
        <v>132</v>
      </c>
      <c r="J48" s="166">
        <f>IF(U52="F",J49*12,SUM(J50*9,J51))</f>
        <v>0</v>
      </c>
      <c r="K48" s="166">
        <f>IF(U52="F",K49*12,SUM(K50*9,K51))</f>
        <v>0</v>
      </c>
      <c r="L48" s="166">
        <f>IF(U52="F",L49*12,SUM(L50*9,L51))</f>
        <v>0</v>
      </c>
      <c r="M48" s="166">
        <f>IF(U52="F",M49*12,SUM(M50*9,M51))</f>
        <v>0</v>
      </c>
      <c r="N48" s="166">
        <f>IF(U52="F",N49*12,SUM(N50*9,N51))</f>
        <v>0</v>
      </c>
      <c r="O48" s="41" t="s">
        <v>51</v>
      </c>
      <c r="P48" s="134" t="s">
        <v>130</v>
      </c>
      <c r="Q48" s="134" t="s">
        <v>131</v>
      </c>
      <c r="R48" s="11"/>
      <c r="S48" s="12"/>
      <c r="T48" s="78"/>
      <c r="V48" s="159"/>
    </row>
    <row r="49" spans="1:24" hidden="1" outlineLevel="1" x14ac:dyDescent="0.25">
      <c r="A49" s="13" t="e">
        <f>ROUND(P49*100, 2)&amp;"% Avg. Fiscal Effort, "&amp;ROUND(Q49, 2)&amp;" Avg. Calendar Months"</f>
        <v>#DIV/0!</v>
      </c>
      <c r="B49" s="47">
        <f>O49*J49</f>
        <v>0</v>
      </c>
      <c r="C49" s="47">
        <f>IF($J$6&gt;1,IF($U$1&lt;&gt;0,IF(O49*(1+$O$6)&lt;=$U$1,O49*K49*(1+$O$6),$U$1*K49),O49*K49*(1+$O$6)),0)</f>
        <v>0</v>
      </c>
      <c r="D49" s="47">
        <f>IF($J$6&gt;2,IF($U$1&lt;&gt;0,IF(O49*(1+$O$6)^2&lt;=$U$1,O49*L49*(1+$O$6)^2,$U$1*L49),O49*L49*(1+$O$6)^2),0)</f>
        <v>0</v>
      </c>
      <c r="E49" s="47">
        <f>IF($J$6&gt;3,IF($U$1&lt;&gt;0,IF(O49*(1+$O$6)^3&lt;=$U$1,O49*M49*(1+$O$6)^3,$U$1*M49),O49*M49*(1+$O$6)^3),0)</f>
        <v>0</v>
      </c>
      <c r="F49" s="47">
        <f>IF($J$6&gt;4,IF($U$1&lt;&gt;0,IF(O49*(1+$O$6)^4&lt;=$U$1,O49*N49*(1+$O$6)^4,$U$1*N49),O49*N49*(1+$O$6)^4),0)</f>
        <v>0</v>
      </c>
      <c r="G49" s="46">
        <f>SUM(B49:F49)</f>
        <v>0</v>
      </c>
      <c r="H49" s="14"/>
      <c r="I49" s="89" t="s">
        <v>26</v>
      </c>
      <c r="J49" s="265">
        <v>0</v>
      </c>
      <c r="K49" s="265">
        <f>IF($J$6&gt;1,J49,0)</f>
        <v>0</v>
      </c>
      <c r="L49" s="265">
        <f>IF($J$6&gt;2,K49,0)</f>
        <v>0</v>
      </c>
      <c r="M49" s="265">
        <f>IF($J$6&gt;3,L49,0)</f>
        <v>0</v>
      </c>
      <c r="N49" s="265">
        <f>IF($J$6&gt;4,M49,0)</f>
        <v>0</v>
      </c>
      <c r="O49" s="128">
        <f>IF(U52="F",IF($U$1&lt;&gt;0,IF(T52&gt;$U$1,$U$1,T52),T52),0)</f>
        <v>0</v>
      </c>
      <c r="P49" s="135" t="e">
        <f>SUM(J48:N48)/(ROUNDUP($J$6,0)*12)</f>
        <v>#DIV/0!</v>
      </c>
      <c r="Q49" s="136" t="e">
        <f>(SUM(J48:N48)/(CEILING($J$6*12,12)))*12</f>
        <v>#DIV/0!</v>
      </c>
      <c r="T49" s="78"/>
      <c r="V49" s="159"/>
      <c r="X49" s="17"/>
    </row>
    <row r="50" spans="1:24" hidden="1" outlineLevel="1" x14ac:dyDescent="0.25">
      <c r="A50" s="376" t="e">
        <f>ROUND(P49*100,2)&amp;"% Annualized Effort, "&amp;ROUND(Q50,2)&amp;" Avg. Academic Months
"&amp;IF(SUM(J51:N51)&gt;0," and "&amp;Q51 &amp;" Avg. Summer Months", "")</f>
        <v>#DIV/0!</v>
      </c>
      <c r="B50" s="47">
        <f>J50*O50</f>
        <v>0</v>
      </c>
      <c r="C50" s="47">
        <f>IF($J$6&gt;1,IF($U$1&lt;&gt;0,IF(O50*(1+$O$6)&lt;=$U$1*0.75,O50*K50*(1+$O$6),$U$1*0.75*K50),O50*K50*(1+$O$6)),0)</f>
        <v>0</v>
      </c>
      <c r="D50" s="47">
        <f>IF($J$6&gt;2,IF($U$1&lt;&gt;0,IF(O50*(1+$O$6)^2&lt;=$U$1*0.75,O50*L50*(1+$O$6)^2,$U$1*0.75*L50),O50*L50*(1+$O$6)^2),0)</f>
        <v>0</v>
      </c>
      <c r="E50" s="47">
        <f>IF($J$6&gt;3,IF($U$1&lt;&gt;0,IF(O50*(1+$O$6)^3&lt;=$U$1*0.75,O50*M50*(1+$O$6)^3,$U$1*0.75*M50),O50*M50*(1+$O$6)^3),0)</f>
        <v>0</v>
      </c>
      <c r="F50" s="47">
        <f>IF($J$6&gt;4,IF($U$1&lt;&gt;0,IF(O50*(1+$O$6)^4&lt;=$U$1*0.75,O50*N50*(1+$O$6)^4,$U$1*0.75*N50),O50*N50*(1+$O$6)^4),0)</f>
        <v>0</v>
      </c>
      <c r="G50" s="46">
        <f>SUM(B50:F50)</f>
        <v>0</v>
      </c>
      <c r="H50" s="14"/>
      <c r="I50" s="89" t="s">
        <v>15</v>
      </c>
      <c r="J50" s="265">
        <v>0</v>
      </c>
      <c r="K50" s="265">
        <f t="shared" ref="K50:K51" si="32">IF($J$6&gt;1,J50,0)</f>
        <v>0</v>
      </c>
      <c r="L50" s="265">
        <f t="shared" ref="L50:L51" si="33">IF($J$6&gt;2,K50,0)</f>
        <v>0</v>
      </c>
      <c r="M50" s="265">
        <f t="shared" ref="M50:M51" si="34">IF($J$6&gt;3,L50,0)</f>
        <v>0</v>
      </c>
      <c r="N50" s="265">
        <f t="shared" ref="N50:N51" si="35">IF($J$6&gt;4,M50,0)</f>
        <v>0</v>
      </c>
      <c r="O50" s="128">
        <f>IF(U52="A",IF($U$1&lt;&gt;0,IF(T52&gt;($U$1/12*9),($U$1/12*9),T52),T52),0)</f>
        <v>0</v>
      </c>
      <c r="P50" s="143"/>
      <c r="Q50" s="137" t="e">
        <f>((SUM(J48:N48)-SUM(J51:N51))/(CEILING($J$6*9,9)))*9</f>
        <v>#DIV/0!</v>
      </c>
      <c r="R50" s="12"/>
      <c r="S50" s="12"/>
      <c r="T50" s="78"/>
      <c r="V50" s="159"/>
    </row>
    <row r="51" spans="1:24" hidden="1" outlineLevel="1" x14ac:dyDescent="0.25">
      <c r="A51" s="376"/>
      <c r="B51" s="47">
        <f>J51/3*O51</f>
        <v>0</v>
      </c>
      <c r="C51" s="47">
        <f>IF($J$6&gt;1,IF($U$1&lt;&gt;0,IF(O51*(1+$O$6)&lt;=$U$1*0.25,O51*K51/3*(1+$O$6),$U$1*0.25*K51/3),O51*K51/3*(1+$O$6)),0)</f>
        <v>0</v>
      </c>
      <c r="D51" s="47">
        <f>IF($J$6&gt;2,IF($U$1&lt;&gt;0,IF(O51*(1+$O$6)^2&lt;=$U$1*0.25,O51*L51/3*(1+$O$6)^2,$U$1*0.25*L51/3),O51*L51/3*(1+$O$6)^2),0)</f>
        <v>0</v>
      </c>
      <c r="E51" s="47">
        <f>IF($J$6&gt;3,IF($U$1&lt;&gt;0,IF(O51*(1+$O$6)^3&lt;=$U$1*0.25,O51*M51/3*(1+$O$6)^3,$U$1*0.25*M51/3),O51*M51/3*(1+$O$6)^3),0)</f>
        <v>0</v>
      </c>
      <c r="F51" s="47">
        <f>IF($J$6&gt;4,IF($U$1&lt;&gt;0,IF(O51*(1+$O$6)^4&lt;=$U$1*0.25,O51*N51/3*(1+$O$6)^4,$U$1*0.25*N51/3),O51*N51/3*(1+$O$6)^4),0)</f>
        <v>0</v>
      </c>
      <c r="G51" s="46">
        <f>SUM(B51:F51)</f>
        <v>0</v>
      </c>
      <c r="H51" s="14"/>
      <c r="I51" s="89" t="s">
        <v>17</v>
      </c>
      <c r="J51" s="266">
        <v>0</v>
      </c>
      <c r="K51" s="266">
        <f t="shared" si="32"/>
        <v>0</v>
      </c>
      <c r="L51" s="266">
        <f t="shared" si="33"/>
        <v>0</v>
      </c>
      <c r="M51" s="266">
        <f t="shared" si="34"/>
        <v>0</v>
      </c>
      <c r="N51" s="266">
        <f t="shared" si="35"/>
        <v>0</v>
      </c>
      <c r="O51" s="128">
        <f>O50*0.000731*456</f>
        <v>0</v>
      </c>
      <c r="P51" s="138"/>
      <c r="Q51" s="138" t="e">
        <f>((SUM(J48:N48)-SUM(J50:N50)*9)/(CEILING($J$6*3,3)))*3</f>
        <v>#DIV/0!</v>
      </c>
      <c r="R51" s="12"/>
      <c r="S51" s="12"/>
      <c r="V51" s="159"/>
    </row>
    <row r="52" spans="1:24" hidden="1" outlineLevel="1" x14ac:dyDescent="0.25">
      <c r="A52" s="18"/>
      <c r="B52" s="47"/>
      <c r="C52" s="47"/>
      <c r="D52" s="48"/>
      <c r="E52" s="48"/>
      <c r="F52" s="48"/>
      <c r="G52" s="49"/>
      <c r="H52" s="19"/>
      <c r="I52" s="149" t="s">
        <v>111</v>
      </c>
      <c r="J52" s="145">
        <f>SUM(B49:B51)*$V52</f>
        <v>0</v>
      </c>
      <c r="K52" s="145">
        <f>SUM(C49:C51)*$V52</f>
        <v>0</v>
      </c>
      <c r="L52" s="145">
        <f>SUM(D49:D51)*$V52</f>
        <v>0</v>
      </c>
      <c r="M52" s="145">
        <f>SUM(E49:E51)*$V52</f>
        <v>0</v>
      </c>
      <c r="N52" s="145">
        <f>SUM(F49:F51)*$V52</f>
        <v>0</v>
      </c>
      <c r="O52" s="21"/>
      <c r="P52" s="138"/>
      <c r="Q52" s="138"/>
      <c r="R52" s="12"/>
      <c r="S52" s="12"/>
      <c r="T52" s="272"/>
      <c r="U52" s="273"/>
      <c r="V52" s="274"/>
      <c r="W52" s="275"/>
    </row>
    <row r="53" spans="1:24" hidden="1" outlineLevel="1" x14ac:dyDescent="0.25">
      <c r="A53" s="292" t="s">
        <v>208</v>
      </c>
      <c r="B53" s="47"/>
      <c r="C53" s="48"/>
      <c r="D53" s="48"/>
      <c r="E53" s="48"/>
      <c r="F53" s="48"/>
      <c r="G53" s="46"/>
      <c r="I53" s="89" t="s">
        <v>132</v>
      </c>
      <c r="J53" s="166">
        <f>IF(U57="F",J54*12,SUM(J55*9,J56))</f>
        <v>0</v>
      </c>
      <c r="K53" s="166">
        <f>IF(U57="F",K54*12,SUM(K55*9,K56))</f>
        <v>0</v>
      </c>
      <c r="L53" s="166">
        <f>IF(U57="F",L54*12,SUM(L55*9,L56))</f>
        <v>0</v>
      </c>
      <c r="M53" s="166">
        <f>IF(U57="F",M54*12,SUM(M55*9,M56))</f>
        <v>0</v>
      </c>
      <c r="N53" s="166">
        <f>IF(U57="F",N54*12,SUM(N55*9,N56))</f>
        <v>0</v>
      </c>
      <c r="O53" s="41" t="s">
        <v>51</v>
      </c>
      <c r="P53" s="134" t="s">
        <v>130</v>
      </c>
      <c r="Q53" s="134" t="s">
        <v>131</v>
      </c>
      <c r="R53" s="11"/>
      <c r="S53" s="12"/>
      <c r="T53" s="78"/>
      <c r="V53" s="159"/>
    </row>
    <row r="54" spans="1:24" hidden="1" outlineLevel="1" x14ac:dyDescent="0.25">
      <c r="A54" s="13" t="e">
        <f>ROUND(P54*100, 2)&amp;"% Avg. Fiscal Effort, "&amp;ROUND(Q54, 2)&amp;" Avg. Calendar Months"</f>
        <v>#DIV/0!</v>
      </c>
      <c r="B54" s="47">
        <f>O54*J54</f>
        <v>0</v>
      </c>
      <c r="C54" s="47">
        <f>IF($J$6&gt;1,IF($U$1&lt;&gt;0,IF(O54*(1+$O$6)&lt;=$U$1,O54*K54*(1+$O$6),$U$1*K54),O54*K54*(1+$O$6)),0)</f>
        <v>0</v>
      </c>
      <c r="D54" s="47">
        <f>IF($J$6&gt;2,IF($U$1&lt;&gt;0,IF(O54*(1+$O$6)^2&lt;=$U$1,O54*L54*(1+$O$6)^2,$U$1*L54),O54*L54*(1+$O$6)^2),0)</f>
        <v>0</v>
      </c>
      <c r="E54" s="47">
        <f>IF($J$6&gt;3,IF($U$1&lt;&gt;0,IF(O54*(1+$O$6)^3&lt;=$U$1,O54*M54*(1+$O$6)^3,$U$1*M54),O54*M54*(1+$O$6)^3),0)</f>
        <v>0</v>
      </c>
      <c r="F54" s="47">
        <f>IF($J$6&gt;4,IF($U$1&lt;&gt;0,IF(O54*(1+$O$6)^4&lt;=$U$1,O54*N54*(1+$O$6)^4,$U$1*N54),O54*N54*(1+$O$6)^4),0)</f>
        <v>0</v>
      </c>
      <c r="G54" s="46">
        <f>SUM(B54:F54)</f>
        <v>0</v>
      </c>
      <c r="H54" s="14"/>
      <c r="I54" s="89" t="s">
        <v>26</v>
      </c>
      <c r="J54" s="265">
        <v>0</v>
      </c>
      <c r="K54" s="265">
        <f>IF($J$6&gt;1,J54,0)</f>
        <v>0</v>
      </c>
      <c r="L54" s="265">
        <f>IF($J$6&gt;2,K54,0)</f>
        <v>0</v>
      </c>
      <c r="M54" s="265">
        <f>IF($J$6&gt;3,L54,0)</f>
        <v>0</v>
      </c>
      <c r="N54" s="265">
        <f>IF($J$6&gt;4,M54,0)</f>
        <v>0</v>
      </c>
      <c r="O54" s="128">
        <f>IF(U57="F",IF($U$1&lt;&gt;0,IF(T57&gt;$U$1,$U$1,T57),T57),0)</f>
        <v>0</v>
      </c>
      <c r="P54" s="135" t="e">
        <f>SUM(J53:N53)/(ROUNDUP($J$6,0)*12)</f>
        <v>#DIV/0!</v>
      </c>
      <c r="Q54" s="136" t="e">
        <f>(SUM(J53:N53)/(CEILING($J$6*12,12)))*12</f>
        <v>#DIV/0!</v>
      </c>
      <c r="T54" s="78"/>
      <c r="V54" s="159"/>
      <c r="X54" s="17"/>
    </row>
    <row r="55" spans="1:24" hidden="1" outlineLevel="1" x14ac:dyDescent="0.25">
      <c r="A55" s="376" t="e">
        <f>ROUND(P54*100,2)&amp;"% Annualized Effort, "&amp;ROUND(Q55,2)&amp;" Avg. Academic Months
"&amp;IF(SUM(J56:N56)&gt;0," and "&amp;Q56 &amp;" Avg. Summer Months", "")</f>
        <v>#DIV/0!</v>
      </c>
      <c r="B55" s="47">
        <f>J55*O55</f>
        <v>0</v>
      </c>
      <c r="C55" s="47">
        <f>IF($J$6&gt;1,IF($U$1&lt;&gt;0,IF(O55*(1+$O$6)&lt;=$U$1*0.75,O55*K55*(1+$O$6),$U$1*0.75*K55),O55*K55*(1+$O$6)),0)</f>
        <v>0</v>
      </c>
      <c r="D55" s="47">
        <f>IF($J$6&gt;2,IF($U$1&lt;&gt;0,IF(O55*(1+$O$6)^2&lt;=$U$1*0.75,O55*L55*(1+$O$6)^2,$U$1*0.75*L55),O55*L55*(1+$O$6)^2),0)</f>
        <v>0</v>
      </c>
      <c r="E55" s="47">
        <f>IF($J$6&gt;3,IF($U$1&lt;&gt;0,IF(O55*(1+$O$6)^3&lt;=$U$1*0.75,O55*M55*(1+$O$6)^3,$U$1*0.75*M55),O55*M55*(1+$O$6)^3),0)</f>
        <v>0</v>
      </c>
      <c r="F55" s="47">
        <f>IF($J$6&gt;4,IF($U$1&lt;&gt;0,IF(O55*(1+$O$6)^4&lt;=$U$1*0.75,O55*N55*(1+$O$6)^4,$U$1*0.75*N55),O55*N55*(1+$O$6)^4),0)</f>
        <v>0</v>
      </c>
      <c r="G55" s="46">
        <f>SUM(B55:F55)</f>
        <v>0</v>
      </c>
      <c r="H55" s="14"/>
      <c r="I55" s="89" t="s">
        <v>15</v>
      </c>
      <c r="J55" s="265">
        <v>0</v>
      </c>
      <c r="K55" s="265">
        <f t="shared" ref="K55:K56" si="36">IF($J$6&gt;1,J55,0)</f>
        <v>0</v>
      </c>
      <c r="L55" s="265">
        <f t="shared" ref="L55:L56" si="37">IF($J$6&gt;2,K55,0)</f>
        <v>0</v>
      </c>
      <c r="M55" s="265">
        <f t="shared" ref="M55:M56" si="38">IF($J$6&gt;3,L55,0)</f>
        <v>0</v>
      </c>
      <c r="N55" s="265">
        <f t="shared" ref="N55:N56" si="39">IF($J$6&gt;4,M55,0)</f>
        <v>0</v>
      </c>
      <c r="O55" s="128">
        <f>IF(U57="A",IF($U$1&lt;&gt;0,IF(T57&gt;($U$1/12*9),($U$1/12*9),T57),T57),0)</f>
        <v>0</v>
      </c>
      <c r="P55" s="143"/>
      <c r="Q55" s="137" t="e">
        <f>((SUM(J53:N53)-SUM(J56:N56))/(CEILING($J$6*9,9)))*9</f>
        <v>#DIV/0!</v>
      </c>
      <c r="R55" s="12"/>
      <c r="S55" s="12"/>
      <c r="T55" s="78"/>
      <c r="V55" s="159"/>
    </row>
    <row r="56" spans="1:24" hidden="1" outlineLevel="1" x14ac:dyDescent="0.25">
      <c r="A56" s="376"/>
      <c r="B56" s="47">
        <f>J56/3*O56</f>
        <v>0</v>
      </c>
      <c r="C56" s="47">
        <f>IF($J$6&gt;1,IF($U$1&lt;&gt;0,IF(O56*(1+$O$6)&lt;=$U$1*0.25,O56*K56/3*(1+$O$6),$U$1*0.25*K56/3),O56*K56/3*(1+$O$6)),0)</f>
        <v>0</v>
      </c>
      <c r="D56" s="47">
        <f>IF($J$6&gt;2,IF($U$1&lt;&gt;0,IF(O56*(1+$O$6)^2&lt;=$U$1*0.25,O56*L56/3*(1+$O$6)^2,$U$1*0.25*L56/3),O56*L56/3*(1+$O$6)^2),0)</f>
        <v>0</v>
      </c>
      <c r="E56" s="47">
        <f>IF($J$6&gt;3,IF($U$1&lt;&gt;0,IF(O56*(1+$O$6)^3&lt;=$U$1*0.25,O56*M56/3*(1+$O$6)^3,$U$1*0.25*M56/3),O56*M56/3*(1+$O$6)^3),0)</f>
        <v>0</v>
      </c>
      <c r="F56" s="47">
        <f>IF($J$6&gt;4,IF($U$1&lt;&gt;0,IF(O56*(1+$O$6)^4&lt;=$U$1*0.25,O56*N56/3*(1+$O$6)^4,$U$1*0.25*N56/3),O56*N56/3*(1+$O$6)^4),0)</f>
        <v>0</v>
      </c>
      <c r="G56" s="46">
        <f>SUM(B56:F56)</f>
        <v>0</v>
      </c>
      <c r="H56" s="14"/>
      <c r="I56" s="89" t="s">
        <v>17</v>
      </c>
      <c r="J56" s="266">
        <v>0</v>
      </c>
      <c r="K56" s="266">
        <f t="shared" si="36"/>
        <v>0</v>
      </c>
      <c r="L56" s="266">
        <f t="shared" si="37"/>
        <v>0</v>
      </c>
      <c r="M56" s="266">
        <f t="shared" si="38"/>
        <v>0</v>
      </c>
      <c r="N56" s="266">
        <f t="shared" si="39"/>
        <v>0</v>
      </c>
      <c r="O56" s="128">
        <f>IF(U57="A",IF($U$1&lt;&gt;0,IF(T57*0.00072*464&gt;($U$1/12*3),($U$1/12*3),T57*0.00072*464),T57*0.00072*464),0)</f>
        <v>0</v>
      </c>
      <c r="P56" s="138"/>
      <c r="Q56" s="138" t="e">
        <f>((SUM(J53:N53)-SUM(J55:N55)*9)/(CEILING($J$6*3,3)))*3</f>
        <v>#DIV/0!</v>
      </c>
      <c r="R56" s="12"/>
      <c r="S56" s="12"/>
      <c r="V56" s="159"/>
    </row>
    <row r="57" spans="1:24" hidden="1" outlineLevel="1" x14ac:dyDescent="0.25">
      <c r="A57" s="18"/>
      <c r="B57" s="47"/>
      <c r="C57" s="47"/>
      <c r="D57" s="48"/>
      <c r="E57" s="48"/>
      <c r="F57" s="48"/>
      <c r="G57" s="49"/>
      <c r="H57" s="19"/>
      <c r="I57" s="149" t="s">
        <v>111</v>
      </c>
      <c r="J57" s="145">
        <f>SUM(B54:B56)*$V57</f>
        <v>0</v>
      </c>
      <c r="K57" s="145">
        <f>SUM(C54:C56)*$V57</f>
        <v>0</v>
      </c>
      <c r="L57" s="145">
        <f>SUM(D54:D56)*$V57</f>
        <v>0</v>
      </c>
      <c r="M57" s="145">
        <f>SUM(E54:E56)*$V57</f>
        <v>0</v>
      </c>
      <c r="N57" s="145">
        <f>SUM(F54:F56)*$V57</f>
        <v>0</v>
      </c>
      <c r="O57" s="21"/>
      <c r="P57" s="138"/>
      <c r="Q57" s="138"/>
      <c r="R57" s="12"/>
      <c r="S57" s="12"/>
      <c r="T57" s="272"/>
      <c r="U57" s="273"/>
      <c r="V57" s="274"/>
      <c r="W57" s="275"/>
    </row>
    <row r="58" spans="1:24" hidden="1" outlineLevel="1" x14ac:dyDescent="0.25">
      <c r="A58" s="292" t="s">
        <v>206</v>
      </c>
      <c r="B58" s="47"/>
      <c r="C58" s="48"/>
      <c r="D58" s="48"/>
      <c r="E58" s="48"/>
      <c r="F58" s="48"/>
      <c r="G58" s="46"/>
      <c r="I58" s="89" t="s">
        <v>132</v>
      </c>
      <c r="J58" s="166">
        <f>IF(U62="F",J59*12,SUM(J60*9,J61))</f>
        <v>0</v>
      </c>
      <c r="K58" s="166">
        <f>IF(U62="F",K59*12,SUM(K60*9,K61))</f>
        <v>0</v>
      </c>
      <c r="L58" s="166">
        <f>IF(U62="F",L59*12,SUM(L60*9,L61))</f>
        <v>0</v>
      </c>
      <c r="M58" s="166">
        <f>IF(U62="F",M59*12,SUM(M60*9,M61))</f>
        <v>0</v>
      </c>
      <c r="N58" s="166">
        <f>IF(U62="F",N59*12,SUM(N60*9,N61))</f>
        <v>0</v>
      </c>
      <c r="O58" s="41" t="s">
        <v>51</v>
      </c>
      <c r="P58" s="134" t="s">
        <v>130</v>
      </c>
      <c r="Q58" s="134" t="s">
        <v>131</v>
      </c>
      <c r="R58" s="11"/>
      <c r="S58" s="12"/>
      <c r="T58" s="78"/>
      <c r="V58" s="159"/>
    </row>
    <row r="59" spans="1:24" hidden="1" outlineLevel="1" x14ac:dyDescent="0.25">
      <c r="A59" s="13" t="e">
        <f>ROUND(P59*100, 2)&amp;"% Avg. Fiscal Effort, "&amp;ROUND(Q59, 2)&amp;" Avg. Calendar Months"</f>
        <v>#DIV/0!</v>
      </c>
      <c r="B59" s="47">
        <f>O59*J59</f>
        <v>0</v>
      </c>
      <c r="C59" s="47">
        <f>IF($J$6&gt;1,IF($U$1&lt;&gt;0,IF(O59*(1+$O$6)&lt;=$U$1,O59*K59*(1+$O$6),$U$1*K59),O59*K59*(1+$O$6)),0)</f>
        <v>0</v>
      </c>
      <c r="D59" s="47">
        <f>IF($J$6&gt;2,IF($U$1&lt;&gt;0,IF(O59*(1+$O$6)^2&lt;=$U$1,O59*L59*(1+$O$6)^2,$U$1*L59),O59*L59*(1+$O$6)^2),0)</f>
        <v>0</v>
      </c>
      <c r="E59" s="47">
        <f>IF($J$6&gt;3,IF($U$1&lt;&gt;0,IF(O59*(1+$O$6)^3&lt;=$U$1,O59*M59*(1+$O$6)^3,$U$1*M59),O59*M59*(1+$O$6)^3),0)</f>
        <v>0</v>
      </c>
      <c r="F59" s="47">
        <f>IF($J$6&gt;4,IF($U$1&lt;&gt;0,IF(O59*(1+$O$6)^4&lt;=$U$1,O59*N59*(1+$O$6)^4,$U$1*N59),O59*N59*(1+$O$6)^4),0)</f>
        <v>0</v>
      </c>
      <c r="G59" s="46">
        <f>SUM(B59:F59)</f>
        <v>0</v>
      </c>
      <c r="H59" s="14"/>
      <c r="I59" s="89" t="s">
        <v>26</v>
      </c>
      <c r="J59" s="265">
        <v>0</v>
      </c>
      <c r="K59" s="265">
        <f>IF($J$6&gt;1,J59,0)</f>
        <v>0</v>
      </c>
      <c r="L59" s="265">
        <f>IF($J$6&gt;2,K59,0)</f>
        <v>0</v>
      </c>
      <c r="M59" s="265">
        <f>IF($J$6&gt;3,L59,0)</f>
        <v>0</v>
      </c>
      <c r="N59" s="265">
        <f>IF($J$6&gt;4,M59,0)</f>
        <v>0</v>
      </c>
      <c r="O59" s="128">
        <f>IF(U62="F",IF($U$1&lt;&gt;0,IF(T62&gt;$U$1,$U$1,T62),T62),0)</f>
        <v>0</v>
      </c>
      <c r="P59" s="135" t="e">
        <f>SUM(J58:N58)/(ROUNDUP($J$6,0)*12)</f>
        <v>#DIV/0!</v>
      </c>
      <c r="Q59" s="136" t="e">
        <f>(SUM(J58:N58)/(CEILING($J$6*12,12)))*12</f>
        <v>#DIV/0!</v>
      </c>
      <c r="T59" s="78"/>
      <c r="V59" s="159"/>
      <c r="X59" s="17"/>
    </row>
    <row r="60" spans="1:24" hidden="1" outlineLevel="1" x14ac:dyDescent="0.25">
      <c r="A60" s="376" t="e">
        <f>ROUND(P59*100,2)&amp;"% Annualized Effort, "&amp;ROUND(Q60,2)&amp;" Avg. Academic Months
"&amp;IF(SUM(J61:N61)&gt;0," and "&amp;Q61 &amp;" Avg. Summer Months", "")</f>
        <v>#DIV/0!</v>
      </c>
      <c r="B60" s="47">
        <f>J60*O60</f>
        <v>0</v>
      </c>
      <c r="C60" s="47">
        <f>IF($J$6&gt;1,IF($U$1&lt;&gt;0,IF(O60*(1+$O$6)&lt;=$U$1*0.75,O60*K60*(1+$O$6),$U$1*0.75*K60),O60*K60*(1+$O$6)),0)</f>
        <v>0</v>
      </c>
      <c r="D60" s="47">
        <f>IF($J$6&gt;2,IF($U$1&lt;&gt;0,IF(O60*(1+$O$6)^2&lt;=$U$1*0.75,O60*L60*(1+$O$6)^2,$U$1*0.75*L60),O60*L60*(1+$O$6)^2),0)</f>
        <v>0</v>
      </c>
      <c r="E60" s="47">
        <f>IF($J$6&gt;3,IF($U$1&lt;&gt;0,IF(O60*(1+$O$6)^3&lt;=$U$1*0.75,O60*M60*(1+$O$6)^3,$U$1*0.75*M60),O60*M60*(1+$O$6)^3),0)</f>
        <v>0</v>
      </c>
      <c r="F60" s="47">
        <f>IF($J$6&gt;4,IF($U$1&lt;&gt;0,IF(O60*(1+$O$6)^4&lt;=$U$1*0.75,O60*N60*(1+$O$6)^4,$U$1*0.75*N60),O60*N60*(1+$O$6)^4),0)</f>
        <v>0</v>
      </c>
      <c r="G60" s="46">
        <f>SUM(B60:F60)</f>
        <v>0</v>
      </c>
      <c r="H60" s="14"/>
      <c r="I60" s="89" t="s">
        <v>15</v>
      </c>
      <c r="J60" s="265">
        <v>0</v>
      </c>
      <c r="K60" s="265">
        <f t="shared" ref="K60:K61" si="40">IF($J$6&gt;1,J60,0)</f>
        <v>0</v>
      </c>
      <c r="L60" s="265">
        <f t="shared" ref="L60:L61" si="41">IF($J$6&gt;2,K60,0)</f>
        <v>0</v>
      </c>
      <c r="M60" s="265">
        <f t="shared" ref="M60:M61" si="42">IF($J$6&gt;3,L60,0)</f>
        <v>0</v>
      </c>
      <c r="N60" s="265">
        <f t="shared" ref="N60:N61" si="43">IF($J$6&gt;4,M60,0)</f>
        <v>0</v>
      </c>
      <c r="O60" s="128">
        <f>IF(U62="A",IF($U$1&lt;&gt;0,IF(T62&gt;($U$1/12*9),($U$1/12*9),T62),T62),0)</f>
        <v>0</v>
      </c>
      <c r="P60" s="143"/>
      <c r="Q60" s="137" t="e">
        <f>((SUM(J58:N58)-SUM(J61:N61))/(CEILING($J$6*9,9)))*9</f>
        <v>#DIV/0!</v>
      </c>
      <c r="R60" s="12"/>
      <c r="S60" s="12"/>
      <c r="T60" s="78"/>
      <c r="V60" s="159"/>
    </row>
    <row r="61" spans="1:24" hidden="1" outlineLevel="1" x14ac:dyDescent="0.25">
      <c r="A61" s="376"/>
      <c r="B61" s="47">
        <f>J61/3*O61</f>
        <v>0</v>
      </c>
      <c r="C61" s="47">
        <f>IF($J$6&gt;1,IF($U$1&lt;&gt;0,IF(O61*(1+$O$6)&lt;=$U$1*0.25,O61*K61/3*(1+$O$6),$U$1*0.25*K61/3),O61*K61/3*(1+$O$6)),0)</f>
        <v>0</v>
      </c>
      <c r="D61" s="47">
        <f>IF($J$6&gt;2,IF($U$1&lt;&gt;0,IF(O61*(1+$O$6)^2&lt;=$U$1*0.25,O61*L61/3*(1+$O$6)^2,$U$1*0.25*L61/3),O61*L61/3*(1+$O$6)^2),0)</f>
        <v>0</v>
      </c>
      <c r="E61" s="47">
        <f>IF($J$6&gt;3,IF($U$1&lt;&gt;0,IF(O61*(1+$O$6)^3&lt;=$U$1*0.25,O61*M61/3*(1+$O$6)^3,$U$1*0.25*M61/3),O61*M61/3*(1+$O$6)^3),0)</f>
        <v>0</v>
      </c>
      <c r="F61" s="47">
        <f>IF($J$6&gt;4,IF($U$1&lt;&gt;0,IF(O61*(1+$O$6)^4&lt;=$U$1*0.25,O61*N61/3*(1+$O$6)^4,$U$1*0.25*N61/3),O61*N61/3*(1+$O$6)^4),0)</f>
        <v>0</v>
      </c>
      <c r="G61" s="46">
        <f>SUM(B61:F61)</f>
        <v>0</v>
      </c>
      <c r="H61" s="14"/>
      <c r="I61" s="89" t="s">
        <v>17</v>
      </c>
      <c r="J61" s="266">
        <v>0</v>
      </c>
      <c r="K61" s="266">
        <f t="shared" si="40"/>
        <v>0</v>
      </c>
      <c r="L61" s="266">
        <f t="shared" si="41"/>
        <v>0</v>
      </c>
      <c r="M61" s="266">
        <f t="shared" si="42"/>
        <v>0</v>
      </c>
      <c r="N61" s="266">
        <f t="shared" si="43"/>
        <v>0</v>
      </c>
      <c r="O61" s="128">
        <f>IF(U62="A",IF($U$1&lt;&gt;0,IF(T62*0.00072*464&gt;($U$1/12*3),($U$1/12*3),T62*0.00072*464),T62*0.00072*464),0)</f>
        <v>0</v>
      </c>
      <c r="P61" s="138"/>
      <c r="Q61" s="138" t="e">
        <f>((SUM(J58:N58)-SUM(J60:N60)*9)/(CEILING($J$6*3,3)))*3</f>
        <v>#DIV/0!</v>
      </c>
      <c r="R61" s="12"/>
      <c r="S61" s="12"/>
      <c r="V61" s="159"/>
    </row>
    <row r="62" spans="1:24" hidden="1" outlineLevel="1" x14ac:dyDescent="0.25">
      <c r="A62" s="18"/>
      <c r="B62" s="47"/>
      <c r="C62" s="47"/>
      <c r="D62" s="48"/>
      <c r="E62" s="48"/>
      <c r="F62" s="48"/>
      <c r="G62" s="49"/>
      <c r="H62" s="19"/>
      <c r="I62" s="149" t="s">
        <v>111</v>
      </c>
      <c r="J62" s="145">
        <f>SUM(B59:B61)*$V62</f>
        <v>0</v>
      </c>
      <c r="K62" s="145">
        <f>SUM(C59:C61)*$V62</f>
        <v>0</v>
      </c>
      <c r="L62" s="145">
        <f>SUM(D59:D61)*$V62</f>
        <v>0</v>
      </c>
      <c r="M62" s="145">
        <f>SUM(E59:E61)*$V62</f>
        <v>0</v>
      </c>
      <c r="N62" s="145">
        <f>SUM(F59:F61)*$V62</f>
        <v>0</v>
      </c>
      <c r="O62" s="21"/>
      <c r="P62" s="138"/>
      <c r="Q62" s="138"/>
      <c r="R62" s="12"/>
      <c r="S62" s="12"/>
      <c r="T62" s="272"/>
      <c r="U62" s="273"/>
      <c r="V62" s="274"/>
      <c r="W62" s="275"/>
    </row>
    <row r="63" spans="1:24" hidden="1" outlineLevel="1" x14ac:dyDescent="0.25">
      <c r="A63" s="292" t="s">
        <v>207</v>
      </c>
      <c r="B63" s="47"/>
      <c r="C63" s="48"/>
      <c r="D63" s="48"/>
      <c r="E63" s="48"/>
      <c r="F63" s="48"/>
      <c r="G63" s="46"/>
      <c r="I63" s="89" t="s">
        <v>132</v>
      </c>
      <c r="J63" s="166">
        <f>IF(U67="F",J64*12,SUM(J65*9,J66))</f>
        <v>0</v>
      </c>
      <c r="K63" s="166">
        <f>IF(U67="F",K64*12,SUM(K65*9,K66))</f>
        <v>0</v>
      </c>
      <c r="L63" s="166">
        <f>IF(U67="F",L64*12,SUM(L65*9,L66))</f>
        <v>0</v>
      </c>
      <c r="M63" s="166">
        <f>IF(U67="F",M64*12,SUM(M65*9,M66))</f>
        <v>0</v>
      </c>
      <c r="N63" s="166">
        <f>IF(U67="F",N64*12,SUM(N65*9,N66))</f>
        <v>0</v>
      </c>
      <c r="O63" s="41" t="s">
        <v>51</v>
      </c>
      <c r="P63" s="134" t="s">
        <v>130</v>
      </c>
      <c r="Q63" s="134" t="s">
        <v>131</v>
      </c>
      <c r="R63" s="11"/>
      <c r="S63" s="12"/>
      <c r="T63" s="78"/>
      <c r="V63" s="159"/>
    </row>
    <row r="64" spans="1:24" hidden="1" outlineLevel="1" x14ac:dyDescent="0.25">
      <c r="A64" s="13" t="e">
        <f>ROUND(P64*100, 2)&amp;"% Avg. Fiscal Effort, "&amp;ROUND(Q64, 2)&amp;" Avg. Calendar Months"</f>
        <v>#DIV/0!</v>
      </c>
      <c r="B64" s="47">
        <f>O64*J64</f>
        <v>0</v>
      </c>
      <c r="C64" s="47">
        <f>IF($J$6&gt;1,IF($U$1&lt;&gt;0,IF(O64*(1+$O$6)&lt;=$U$1,O64*K64*(1+$O$6),$U$1*K64),O64*K64*(1+$O$6)),0)</f>
        <v>0</v>
      </c>
      <c r="D64" s="47">
        <f>IF($J$6&gt;2,IF($U$1&lt;&gt;0,IF(O64*(1+$O$6)^2&lt;=$U$1,O64*L64*(1+$O$6)^2,$U$1*L64),O64*L64*(1+$O$6)^2),0)</f>
        <v>0</v>
      </c>
      <c r="E64" s="47">
        <f>IF($J$6&gt;3,IF($U$1&lt;&gt;0,IF(O64*(1+$O$6)^3&lt;=$U$1,O64*M64*(1+$O$6)^3,$U$1*M64),O64*M64*(1+$O$6)^3),0)</f>
        <v>0</v>
      </c>
      <c r="F64" s="47">
        <f>IF($J$6&gt;4,IF($U$1&lt;&gt;0,IF(O64*(1+$O$6)^4&lt;=$U$1,O64*N64*(1+$O$6)^4,$U$1*N64),O64*N64*(1+$O$6)^4),0)</f>
        <v>0</v>
      </c>
      <c r="G64" s="46">
        <f>SUM(B64:F64)</f>
        <v>0</v>
      </c>
      <c r="H64" s="14"/>
      <c r="I64" s="89" t="s">
        <v>26</v>
      </c>
      <c r="J64" s="265">
        <v>0</v>
      </c>
      <c r="K64" s="265">
        <f>IF($J$6&gt;1,J64,0)</f>
        <v>0</v>
      </c>
      <c r="L64" s="265">
        <f>IF($J$6&gt;2,K64,0)</f>
        <v>0</v>
      </c>
      <c r="M64" s="265">
        <f>IF($J$6&gt;3,L64,0)</f>
        <v>0</v>
      </c>
      <c r="N64" s="265">
        <f>IF($J$6&gt;4,M64,0)</f>
        <v>0</v>
      </c>
      <c r="O64" s="128">
        <f>IF(U67="F",IF($U$1&lt;&gt;0,IF(T67&gt;$U$1,$U$1,T67),T67),0)</f>
        <v>0</v>
      </c>
      <c r="P64" s="135" t="e">
        <f>SUM(J63:N63)/(ROUNDUP($J$6,0)*12)</f>
        <v>#DIV/0!</v>
      </c>
      <c r="Q64" s="136" t="e">
        <f>(SUM(J63:N63)/(CEILING($J$6*12,12)))*12</f>
        <v>#DIV/0!</v>
      </c>
      <c r="T64" s="78"/>
      <c r="V64" s="159"/>
      <c r="X64" s="17"/>
    </row>
    <row r="65" spans="1:23" hidden="1" outlineLevel="1" x14ac:dyDescent="0.25">
      <c r="A65" s="376" t="e">
        <f>ROUND(P64*100,2)&amp;"% Annualized Effort, "&amp;ROUND(Q65,2)&amp;" Avg. Academic Months
"&amp;IF(SUM(J66:N66)&gt;0," and "&amp;Q66 &amp;" Avg. Summer Months", "")</f>
        <v>#DIV/0!</v>
      </c>
      <c r="B65" s="47">
        <f>J65*O65</f>
        <v>0</v>
      </c>
      <c r="C65" s="47">
        <f>IF($J$6&gt;1,IF($U$1&lt;&gt;0,IF(O65*(1+$O$6)&lt;=$U$1*0.75,O65*K65*(1+$O$6),$U$1*0.75*K65),O65*K65*(1+$O$6)),0)</f>
        <v>0</v>
      </c>
      <c r="D65" s="47">
        <f>IF($J$6&gt;2,IF($U$1&lt;&gt;0,IF(O65*(1+$O$6)^2&lt;=$U$1*0.75,O65*L65*(1+$O$6)^2,$U$1*0.75*L65),O65*L65*(1+$O$6)^2),0)</f>
        <v>0</v>
      </c>
      <c r="E65" s="47">
        <f>IF($J$6&gt;3,IF($U$1&lt;&gt;0,IF(O65*(1+$O$6)^3&lt;=$U$1*0.75,O65*M65*(1+$O$6)^3,$U$1*0.75*M65),O65*M65*(1+$O$6)^3),0)</f>
        <v>0</v>
      </c>
      <c r="F65" s="47">
        <f>IF($J$6&gt;4,IF($U$1&lt;&gt;0,IF(O65*(1+$O$6)^4&lt;=$U$1*0.75,O65*N65*(1+$O$6)^4,$U$1*0.75*N65),O65*N65*(1+$O$6)^4),0)</f>
        <v>0</v>
      </c>
      <c r="G65" s="46">
        <f>SUM(B65:F65)</f>
        <v>0</v>
      </c>
      <c r="H65" s="14"/>
      <c r="I65" s="89" t="s">
        <v>15</v>
      </c>
      <c r="J65" s="265">
        <v>0</v>
      </c>
      <c r="K65" s="265">
        <f t="shared" ref="K65:K66" si="44">IF($J$6&gt;1,J65,0)</f>
        <v>0</v>
      </c>
      <c r="L65" s="265">
        <f t="shared" ref="L65:L66" si="45">IF($J$6&gt;2,K65,0)</f>
        <v>0</v>
      </c>
      <c r="M65" s="265">
        <f t="shared" ref="M65:M66" si="46">IF($J$6&gt;3,L65,0)</f>
        <v>0</v>
      </c>
      <c r="N65" s="265">
        <f t="shared" ref="N65:N66" si="47">IF($J$6&gt;4,M65,0)</f>
        <v>0</v>
      </c>
      <c r="O65" s="128">
        <f>IF(U67="A",IF($U$1&lt;&gt;0,IF(T67&gt;($U$1/12*9),($U$1/12*9),T67),T67),0)</f>
        <v>0</v>
      </c>
      <c r="P65" s="143"/>
      <c r="Q65" s="137" t="e">
        <f>((SUM(J63:N63)-SUM(J66:N66))/(CEILING($J$6*9,9)))*9</f>
        <v>#DIV/0!</v>
      </c>
      <c r="R65" s="12"/>
      <c r="S65" s="12"/>
      <c r="T65" s="78"/>
      <c r="V65" s="159"/>
    </row>
    <row r="66" spans="1:23" hidden="1" outlineLevel="1" x14ac:dyDescent="0.25">
      <c r="A66" s="376"/>
      <c r="B66" s="47">
        <f>J66/3*O66</f>
        <v>0</v>
      </c>
      <c r="C66" s="47">
        <f>IF($J$6&gt;1,IF($U$1&lt;&gt;0,IF(O66*(1+$O$6)&lt;=$U$1*0.25,O66*K66/3*(1+$O$6),$U$1*0.25*K66/3),O66*K66/3*(1+$O$6)),0)</f>
        <v>0</v>
      </c>
      <c r="D66" s="47">
        <f>IF($J$6&gt;2,IF($U$1&lt;&gt;0,IF(O66*(1+$O$6)^2&lt;=$U$1*0.25,O66*L66/3*(1+$O$6)^2,$U$1*0.25*L66/3),O66*L66/3*(1+$O$6)^2),0)</f>
        <v>0</v>
      </c>
      <c r="E66" s="47">
        <f>IF($J$6&gt;3,IF($U$1&lt;&gt;0,IF(O66*(1+$O$6)^3&lt;=$U$1*0.25,O66*M66/3*(1+$O$6)^3,$U$1*0.25*M66/3),O66*M66/3*(1+$O$6)^3),0)</f>
        <v>0</v>
      </c>
      <c r="F66" s="47">
        <f>IF($J$6&gt;4,IF($U$1&lt;&gt;0,IF(O66*(1+$O$6)^4&lt;=$U$1*0.25,O66*N66/3*(1+$O$6)^4,$U$1*0.25*N66/3),O66*N66/3*(1+$O$6)^4),0)</f>
        <v>0</v>
      </c>
      <c r="G66" s="46">
        <f>SUM(B66:F66)</f>
        <v>0</v>
      </c>
      <c r="H66" s="14"/>
      <c r="I66" s="89" t="s">
        <v>17</v>
      </c>
      <c r="J66" s="266">
        <v>0</v>
      </c>
      <c r="K66" s="266">
        <f t="shared" si="44"/>
        <v>0</v>
      </c>
      <c r="L66" s="266">
        <f t="shared" si="45"/>
        <v>0</v>
      </c>
      <c r="M66" s="266">
        <f t="shared" si="46"/>
        <v>0</v>
      </c>
      <c r="N66" s="266">
        <f t="shared" si="47"/>
        <v>0</v>
      </c>
      <c r="O66" s="128">
        <f>IF(U67="A",IF($U$1&lt;&gt;0,IF(T67*0.00072*464&gt;($U$1/12*3),($U$1/12*3),T67*0.00072*464),T67*0.00072*464),0)</f>
        <v>0</v>
      </c>
      <c r="P66" s="138"/>
      <c r="Q66" s="138" t="e">
        <f>((SUM(J63:N63)-SUM(J65:N65)*9)/(CEILING($J$6*3,3)))*3</f>
        <v>#DIV/0!</v>
      </c>
      <c r="R66" s="12"/>
      <c r="S66" s="12"/>
      <c r="V66" s="159"/>
    </row>
    <row r="67" spans="1:23" hidden="1" outlineLevel="1" x14ac:dyDescent="0.25">
      <c r="A67" s="18"/>
      <c r="B67" s="47"/>
      <c r="C67" s="47"/>
      <c r="D67" s="48"/>
      <c r="E67" s="48"/>
      <c r="F67" s="48"/>
      <c r="G67" s="49"/>
      <c r="H67" s="19"/>
      <c r="I67" s="149" t="s">
        <v>111</v>
      </c>
      <c r="J67" s="145">
        <f>SUM(B64:B66)*$V67</f>
        <v>0</v>
      </c>
      <c r="K67" s="145">
        <f>SUM(C64:C66)*$V67</f>
        <v>0</v>
      </c>
      <c r="L67" s="145">
        <f>SUM(D64:D66)*$V67</f>
        <v>0</v>
      </c>
      <c r="M67" s="145">
        <f>SUM(E64:E66)*$V67</f>
        <v>0</v>
      </c>
      <c r="N67" s="145">
        <f>SUM(F64:F66)*$V67</f>
        <v>0</v>
      </c>
      <c r="O67" s="21"/>
      <c r="P67" s="138"/>
      <c r="Q67" s="138"/>
      <c r="R67" s="12"/>
      <c r="S67" s="12"/>
      <c r="T67" s="272"/>
      <c r="U67" s="273"/>
      <c r="V67" s="274"/>
      <c r="W67" s="275"/>
    </row>
    <row r="68" spans="1:23" outlineLevel="1" x14ac:dyDescent="0.25">
      <c r="A68" s="18"/>
      <c r="B68" s="47"/>
      <c r="C68" s="47"/>
      <c r="D68" s="48"/>
      <c r="E68" s="48"/>
      <c r="F68" s="48"/>
      <c r="G68" s="49"/>
      <c r="H68" s="19"/>
      <c r="I68" s="45" t="s">
        <v>215</v>
      </c>
      <c r="J68" s="271">
        <v>0</v>
      </c>
      <c r="K68" s="271">
        <f>IF(ISNUMBER(J68),(IF(J68+1&lt;8,J68+1,J68))," ")</f>
        <v>1</v>
      </c>
      <c r="L68" s="271">
        <f t="shared" ref="L68:N68" si="48">IF(ISNUMBER(K68),(IF(K68+1&lt;8,K68+1,K68))," ")</f>
        <v>2</v>
      </c>
      <c r="M68" s="271">
        <f t="shared" si="48"/>
        <v>3</v>
      </c>
      <c r="N68" s="271">
        <f t="shared" si="48"/>
        <v>4</v>
      </c>
      <c r="O68" s="129"/>
      <c r="P68" s="138"/>
      <c r="Q68" s="138"/>
      <c r="R68" s="12"/>
      <c r="S68" s="12"/>
      <c r="T68" s="78"/>
      <c r="V68" s="260"/>
    </row>
    <row r="69" spans="1:23" outlineLevel="1" x14ac:dyDescent="0.25">
      <c r="A69" s="361" t="s">
        <v>168</v>
      </c>
      <c r="B69" s="47"/>
      <c r="C69" s="47"/>
      <c r="D69" s="47"/>
      <c r="E69" s="47"/>
      <c r="F69" s="47"/>
      <c r="G69" s="46"/>
      <c r="H69" s="14"/>
      <c r="I69" s="89" t="s">
        <v>132</v>
      </c>
      <c r="J69" s="166">
        <f>J70*12</f>
        <v>0</v>
      </c>
      <c r="K69" s="166">
        <f t="shared" ref="K69:N69" si="49">K70*12</f>
        <v>0</v>
      </c>
      <c r="L69" s="166">
        <f t="shared" si="49"/>
        <v>0</v>
      </c>
      <c r="M69" s="166">
        <f t="shared" si="49"/>
        <v>0</v>
      </c>
      <c r="N69" s="166">
        <f t="shared" si="49"/>
        <v>0</v>
      </c>
      <c r="O69" s="41" t="s">
        <v>51</v>
      </c>
      <c r="P69" s="134" t="s">
        <v>130</v>
      </c>
      <c r="Q69" s="134" t="s">
        <v>131</v>
      </c>
      <c r="U69" s="1"/>
      <c r="V69" s="159"/>
    </row>
    <row r="70" spans="1:23" outlineLevel="1" x14ac:dyDescent="0.25">
      <c r="A70" s="13" t="e">
        <f>ROUND(P70*100, 2)&amp;"% Avg. Fiscal Effort, "&amp;ROUND(Q70, 2)&amp;" Avg. Calendar Months"</f>
        <v>#DIV/0!</v>
      </c>
      <c r="B70" s="47">
        <f>IF(ISNUMBER(J68),(HLOOKUP(J68,$AB$3:$AI$4,2,FALSE)*J70),O70*J70)</f>
        <v>0</v>
      </c>
      <c r="C70" s="47">
        <f>IF(ISNUMBER(K68),(HLOOKUP(K68,$AB$3:$AI$4,2,FALSE)*K70),IF($J$6&gt;1,IF($U$1&lt;&gt;0,IF(O70*(1+$O$6)&lt;=$U$1,O70*K70*(1+$O$6),$U$1*K70),O70*K70*(1+$O$6)),0))</f>
        <v>0</v>
      </c>
      <c r="D70" s="47">
        <f>IF(ISNUMBER(L68),(HLOOKUP(L68,$AB$3:$AI$4,2,FALSE)*L70),IF($J$6&gt;2,IF($U$1&lt;&gt;0,IF(O70*(1+$O$6)^2&lt;=$U$1,O70*L70*(1+$O$6)^2,$U$1*L70),O70*L70*(1+$O$6)^2),0))</f>
        <v>0</v>
      </c>
      <c r="E70" s="47">
        <f>IF(ISNUMBER(M68),(HLOOKUP(M68,$AB$3:$AI$4,2,FALSE)*M70),IF($J$6&gt;3,IF($U$1&lt;&gt;0,IF(O70*(1+$O$6)^3&lt;=$U$1,O70*M70*(1+$O$6)^3,$U$1*M70),O70*M70*(1+$O$6)^3),0))</f>
        <v>0</v>
      </c>
      <c r="F70" s="47">
        <f>IF(ISNUMBER(N68),(HLOOKUP(N68,$AB$3:$AI$4,2,FALSE)*N70),IF($J$6&gt;4,IF($U$1&lt;&gt;0,IF(O70*(1+$O$6)^4&lt;=$U$1,O70*N70*(1+$O$6)^4,$U$1*N70),O70*N70*(1+$O$6)^4),0))</f>
        <v>0</v>
      </c>
      <c r="G70" s="46">
        <f>SUM(B70:F70)</f>
        <v>0</v>
      </c>
      <c r="H70" s="14"/>
      <c r="I70" s="89" t="s">
        <v>26</v>
      </c>
      <c r="J70" s="265">
        <v>0</v>
      </c>
      <c r="K70" s="265">
        <f>IF($J$6&gt;1,J70,0)</f>
        <v>0</v>
      </c>
      <c r="L70" s="265">
        <f>IF($J$6&gt;2,K70,0)</f>
        <v>0</v>
      </c>
      <c r="M70" s="265">
        <f>IF($J$6&gt;3,L70,0)</f>
        <v>0</v>
      </c>
      <c r="N70" s="265">
        <f>IF($J$6&gt;4,M70,0)</f>
        <v>0</v>
      </c>
      <c r="O70" s="259">
        <f>T71</f>
        <v>0</v>
      </c>
      <c r="P70" s="135" t="e">
        <f>SUM(J69:N69)/(ROUNDUP($J$6,0)*12)</f>
        <v>#DIV/0!</v>
      </c>
      <c r="Q70" s="136" t="e">
        <f>(SUM(J69:N69)/(CEILING($J$6*12,12)))*12</f>
        <v>#DIV/0!</v>
      </c>
      <c r="T70" s="2"/>
      <c r="V70" s="159"/>
    </row>
    <row r="71" spans="1:23" outlineLevel="1" x14ac:dyDescent="0.25">
      <c r="B71" s="47"/>
      <c r="C71" s="47"/>
      <c r="D71" s="47"/>
      <c r="E71" s="47"/>
      <c r="F71" s="47"/>
      <c r="G71" s="46"/>
      <c r="H71" s="14"/>
      <c r="I71" s="149" t="s">
        <v>111</v>
      </c>
      <c r="J71" s="167">
        <f>B70*$V71</f>
        <v>0</v>
      </c>
      <c r="K71" s="167">
        <f t="shared" ref="K71:N71" si="50">C70*$V71</f>
        <v>0</v>
      </c>
      <c r="L71" s="167">
        <f t="shared" si="50"/>
        <v>0</v>
      </c>
      <c r="M71" s="167">
        <f>E70*$V71</f>
        <v>0</v>
      </c>
      <c r="N71" s="167">
        <f t="shared" si="50"/>
        <v>0</v>
      </c>
      <c r="O71" s="21"/>
      <c r="P71" s="143"/>
      <c r="Q71" s="137"/>
      <c r="T71" s="272">
        <v>0</v>
      </c>
      <c r="U71" s="154" t="s">
        <v>127</v>
      </c>
      <c r="V71" s="274">
        <f>$J$118</f>
        <v>0.17599999999999999</v>
      </c>
      <c r="W71" s="155"/>
    </row>
    <row r="72" spans="1:23" outlineLevel="1" x14ac:dyDescent="0.25">
      <c r="B72" s="47"/>
      <c r="C72" s="47"/>
      <c r="D72" s="47"/>
      <c r="E72" s="47"/>
      <c r="F72" s="47"/>
      <c r="G72" s="46"/>
      <c r="H72" s="14"/>
      <c r="I72" s="45" t="s">
        <v>215</v>
      </c>
      <c r="J72" s="271">
        <v>0</v>
      </c>
      <c r="K72" s="271">
        <f>IF(ISNUMBER(J72),(IF(J72+1&lt;8,J72+1,J72))," ")</f>
        <v>1</v>
      </c>
      <c r="L72" s="271">
        <f t="shared" ref="L72" si="51">IF(ISNUMBER(K72),(IF(K72+1&lt;8,K72+1,K72))," ")</f>
        <v>2</v>
      </c>
      <c r="M72" s="271">
        <f t="shared" ref="M72" si="52">IF(ISNUMBER(L72),(IF(L72+1&lt;8,L72+1,L72))," ")</f>
        <v>3</v>
      </c>
      <c r="N72" s="271">
        <f t="shared" ref="N72" si="53">IF(ISNUMBER(M72),(IF(M72+1&lt;8,M72+1,M72))," ")</f>
        <v>4</v>
      </c>
      <c r="O72" s="129"/>
      <c r="P72" s="143"/>
      <c r="Q72" s="137"/>
      <c r="T72" s="78"/>
      <c r="V72" s="260"/>
    </row>
    <row r="73" spans="1:23" outlineLevel="1" x14ac:dyDescent="0.25">
      <c r="A73" s="361" t="s">
        <v>168</v>
      </c>
      <c r="B73" s="47"/>
      <c r="C73" s="47"/>
      <c r="D73" s="47"/>
      <c r="E73" s="47"/>
      <c r="F73" s="47"/>
      <c r="G73" s="46"/>
      <c r="H73" s="14"/>
      <c r="I73" s="89" t="s">
        <v>132</v>
      </c>
      <c r="J73" s="166">
        <f>J74*12</f>
        <v>0</v>
      </c>
      <c r="K73" s="166">
        <f t="shared" ref="K73" si="54">K74*12</f>
        <v>0</v>
      </c>
      <c r="L73" s="166">
        <f t="shared" ref="L73" si="55">L74*12</f>
        <v>0</v>
      </c>
      <c r="M73" s="166">
        <f t="shared" ref="M73" si="56">M74*12</f>
        <v>0</v>
      </c>
      <c r="N73" s="166">
        <f t="shared" ref="N73" si="57">N74*12</f>
        <v>0</v>
      </c>
      <c r="O73" s="41" t="s">
        <v>51</v>
      </c>
      <c r="P73" s="134" t="s">
        <v>130</v>
      </c>
      <c r="Q73" s="134" t="s">
        <v>131</v>
      </c>
      <c r="U73" s="1"/>
      <c r="V73" s="159"/>
    </row>
    <row r="74" spans="1:23" outlineLevel="1" x14ac:dyDescent="0.25">
      <c r="A74" s="13" t="e">
        <f>ROUND(P74*100, 2)&amp;"% Avg. Fiscal Effort, "&amp;ROUND(Q74, 2)&amp;" Avg. Calendar Months"</f>
        <v>#DIV/0!</v>
      </c>
      <c r="B74" s="47">
        <f>IF(ISNUMBER(J72),(HLOOKUP(J72,$AB$3:$AI$4,2,FALSE)*J74),O74*J74)</f>
        <v>0</v>
      </c>
      <c r="C74" s="47">
        <f>IF(ISNUMBER(K72),(HLOOKUP(K72,$AB$3:$AI$4,2,FALSE)*K74),IF($J$6&gt;1,IF($U$1&lt;&gt;0,IF(O74*(1+$O$6)&lt;=$U$1,O74*K74*(1+$O$6),$U$1*K74),O74*K74*(1+$O$6)),0))</f>
        <v>0</v>
      </c>
      <c r="D74" s="47">
        <f>IF(ISNUMBER(L72),(HLOOKUP(L72,$AB$3:$AI$4,2,FALSE)*L74),IF($J$6&gt;2,IF($U$1&lt;&gt;0,IF(O74*(1+$O$6)^2&lt;=$U$1,O74*L74*(1+$O$6)^2,$U$1*L74),O74*L74*(1+$O$6)^2),0))</f>
        <v>0</v>
      </c>
      <c r="E74" s="47">
        <f>IF(ISNUMBER(M72),(HLOOKUP(M72,$AB$3:$AI$4,2,FALSE)*M74),IF($J$6&gt;3,IF($U$1&lt;&gt;0,IF(O74*(1+$O$6)^3&lt;=$U$1,O74*M74*(1+$O$6)^3,$U$1*M74),O74*M74*(1+$O$6)^3),0))</f>
        <v>0</v>
      </c>
      <c r="F74" s="47">
        <f>IF(ISNUMBER(N72),(HLOOKUP(N72,$AB$3:$AI$4,2,FALSE)*N74),IF($J$6&gt;4,IF($U$1&lt;&gt;0,IF(O74*(1+$O$6)^4&lt;=$U$1,O74*N74*(1+$O$6)^4,$U$1*N74),O74*N74*(1+$O$6)^4),0))</f>
        <v>0</v>
      </c>
      <c r="G74" s="46">
        <f>SUM(B74:F74)</f>
        <v>0</v>
      </c>
      <c r="H74" s="14"/>
      <c r="I74" s="89" t="s">
        <v>26</v>
      </c>
      <c r="J74" s="265">
        <v>0</v>
      </c>
      <c r="K74" s="265">
        <f>IF($J$6&gt;1,J74,0)</f>
        <v>0</v>
      </c>
      <c r="L74" s="265">
        <f>IF($J$6&gt;2,K74,0)</f>
        <v>0</v>
      </c>
      <c r="M74" s="265">
        <f>IF($J$6&gt;3,L74,0)</f>
        <v>0</v>
      </c>
      <c r="N74" s="265">
        <f>IF($J$6&gt;4,M74,0)</f>
        <v>0</v>
      </c>
      <c r="O74" s="259">
        <f>T75</f>
        <v>0</v>
      </c>
      <c r="P74" s="135" t="e">
        <f>SUM(J73:N73)/(ROUNDUP($J$6,0)*12)</f>
        <v>#DIV/0!</v>
      </c>
      <c r="Q74" s="136" t="e">
        <f>(SUM(J73:N73)/(CEILING($J$6*12,12)))*12</f>
        <v>#DIV/0!</v>
      </c>
      <c r="T74" s="2"/>
      <c r="V74" s="159"/>
    </row>
    <row r="75" spans="1:23" outlineLevel="1" x14ac:dyDescent="0.25">
      <c r="B75" s="47"/>
      <c r="C75" s="47"/>
      <c r="D75" s="47"/>
      <c r="E75" s="47"/>
      <c r="F75" s="47"/>
      <c r="G75" s="46"/>
      <c r="H75" s="14"/>
      <c r="I75" s="149" t="s">
        <v>111</v>
      </c>
      <c r="J75" s="167">
        <f>B74*$V75</f>
        <v>0</v>
      </c>
      <c r="K75" s="167">
        <f t="shared" ref="K75" si="58">C74*$V75</f>
        <v>0</v>
      </c>
      <c r="L75" s="167">
        <f t="shared" ref="L75" si="59">D74*$V75</f>
        <v>0</v>
      </c>
      <c r="M75" s="167">
        <f>E74*$V75</f>
        <v>0</v>
      </c>
      <c r="N75" s="167">
        <f t="shared" ref="N75" si="60">F74*$V75</f>
        <v>0</v>
      </c>
      <c r="O75" s="21"/>
      <c r="P75" s="143"/>
      <c r="Q75" s="137"/>
      <c r="T75" s="272"/>
      <c r="U75" s="154" t="s">
        <v>127</v>
      </c>
      <c r="V75" s="274">
        <f>$J$118</f>
        <v>0.17599999999999999</v>
      </c>
      <c r="W75" s="155"/>
    </row>
    <row r="76" spans="1:23" hidden="1" outlineLevel="1" x14ac:dyDescent="0.25">
      <c r="B76" s="47"/>
      <c r="C76" s="47"/>
      <c r="D76" s="47"/>
      <c r="E76" s="47"/>
      <c r="F76" s="47"/>
      <c r="G76" s="46"/>
      <c r="H76" s="14"/>
      <c r="I76" s="45" t="s">
        <v>215</v>
      </c>
      <c r="J76" s="271"/>
      <c r="K76" s="271" t="str">
        <f>IF(ISNUMBER(J76),(IF(J76+1&lt;8,J76+1,J76))," ")</f>
        <v xml:space="preserve"> </v>
      </c>
      <c r="L76" s="271" t="str">
        <f t="shared" ref="L76" si="61">IF(ISNUMBER(K76),(IF(K76+1&lt;8,K76+1,K76))," ")</f>
        <v xml:space="preserve"> </v>
      </c>
      <c r="M76" s="271" t="str">
        <f t="shared" ref="M76" si="62">IF(ISNUMBER(L76),(IF(L76+1&lt;8,L76+1,L76))," ")</f>
        <v xml:space="preserve"> </v>
      </c>
      <c r="N76" s="271" t="str">
        <f t="shared" ref="N76" si="63">IF(ISNUMBER(M76),(IF(M76+1&lt;8,M76+1,M76))," ")</f>
        <v xml:space="preserve"> </v>
      </c>
      <c r="O76" s="129"/>
      <c r="P76" s="143"/>
      <c r="Q76" s="137"/>
      <c r="T76" s="78"/>
      <c r="V76" s="260"/>
    </row>
    <row r="77" spans="1:23" hidden="1" outlineLevel="1" x14ac:dyDescent="0.25">
      <c r="A77" s="361" t="s">
        <v>168</v>
      </c>
      <c r="B77" s="47"/>
      <c r="C77" s="47"/>
      <c r="D77" s="47"/>
      <c r="E77" s="47"/>
      <c r="F77" s="47"/>
      <c r="G77" s="46"/>
      <c r="H77" s="14"/>
      <c r="I77" s="89" t="s">
        <v>132</v>
      </c>
      <c r="J77" s="166">
        <f>J78*12</f>
        <v>0</v>
      </c>
      <c r="K77" s="166">
        <f t="shared" ref="K77" si="64">K78*12</f>
        <v>0</v>
      </c>
      <c r="L77" s="166">
        <f t="shared" ref="L77" si="65">L78*12</f>
        <v>0</v>
      </c>
      <c r="M77" s="166">
        <f t="shared" ref="M77" si="66">M78*12</f>
        <v>0</v>
      </c>
      <c r="N77" s="166">
        <f t="shared" ref="N77" si="67">N78*12</f>
        <v>0</v>
      </c>
      <c r="O77" s="41" t="s">
        <v>51</v>
      </c>
      <c r="P77" s="134" t="s">
        <v>130</v>
      </c>
      <c r="Q77" s="134" t="s">
        <v>131</v>
      </c>
      <c r="U77" s="1"/>
      <c r="V77" s="159"/>
    </row>
    <row r="78" spans="1:23" hidden="1" outlineLevel="1" x14ac:dyDescent="0.25">
      <c r="A78" s="13" t="e">
        <f>ROUND(P78*100, 2)&amp;"% Avg. Fiscal Effort, "&amp;ROUND(Q78, 2)&amp;" Avg. Calendar Months"</f>
        <v>#DIV/0!</v>
      </c>
      <c r="B78" s="47">
        <f>IF(ISNUMBER(J76),(HLOOKUP(J76,$AB$3:$AI$4,2,FALSE)*J78),O78*J78)</f>
        <v>0</v>
      </c>
      <c r="C78" s="47">
        <f>IF(ISNUMBER(K76),(HLOOKUP(K76,$AB$3:$AI$4,2,FALSE)*K78),IF($J$6&gt;1,IF($U$1&lt;&gt;0,IF(O78*(1+$O$6)&lt;=$U$1,O78*K78*(1+$O$6),$U$1*K78),O78*K78*(1+$O$6)),0))</f>
        <v>0</v>
      </c>
      <c r="D78" s="47">
        <f>IF(ISNUMBER(L76),(HLOOKUP(L76,$AB$3:$AI$4,2,FALSE)*L78),IF($J$6&gt;2,IF($U$1&lt;&gt;0,IF(O78*(1+$O$6)^2&lt;=$U$1,O78*L78*(1+$O$6)^2,$U$1*L78),O78*L78*(1+$O$6)^2),0))</f>
        <v>0</v>
      </c>
      <c r="E78" s="47">
        <f>IF(ISNUMBER(M76),(HLOOKUP(M76,$AB$3:$AI$4,2,FALSE)*M78),IF($J$6&gt;3,IF($U$1&lt;&gt;0,IF(O78*(1+$O$6)^3&lt;=$U$1,O78*M78*(1+$O$6)^3,$U$1*M78),O78*M78*(1+$O$6)^3),0))</f>
        <v>0</v>
      </c>
      <c r="F78" s="47">
        <f>IF(ISNUMBER(N76),(HLOOKUP(N76,$AB$3:$AI$4,2,FALSE)*N78),IF($J$6&gt;4,IF($U$1&lt;&gt;0,IF(O78*(1+$O$6)^4&lt;=$U$1,O78*N78*(1+$O$6)^4,$U$1*N78),O78*N78*(1+$O$6)^4),0))</f>
        <v>0</v>
      </c>
      <c r="G78" s="46">
        <f>SUM(B78:F78)</f>
        <v>0</v>
      </c>
      <c r="H78" s="14"/>
      <c r="I78" s="89" t="s">
        <v>26</v>
      </c>
      <c r="J78" s="265">
        <v>0</v>
      </c>
      <c r="K78" s="265">
        <f>IF($J$6&gt;1,J78,0)</f>
        <v>0</v>
      </c>
      <c r="L78" s="265">
        <f>IF($J$6&gt;2,K78,0)</f>
        <v>0</v>
      </c>
      <c r="M78" s="265">
        <f>IF($J$6&gt;3,L78,0)</f>
        <v>0</v>
      </c>
      <c r="N78" s="265">
        <f>IF($J$6&gt;4,M78,0)</f>
        <v>0</v>
      </c>
      <c r="O78" s="259">
        <f>T79</f>
        <v>0</v>
      </c>
      <c r="P78" s="135" t="e">
        <f>SUM(J77:N77)/(ROUNDUP($J$6,0)*12)</f>
        <v>#DIV/0!</v>
      </c>
      <c r="Q78" s="136" t="e">
        <f>(SUM(J77:N77)/(CEILING($J$6*12,12)))*12</f>
        <v>#DIV/0!</v>
      </c>
      <c r="T78" s="2"/>
      <c r="V78" s="159"/>
    </row>
    <row r="79" spans="1:23" hidden="1" outlineLevel="1" x14ac:dyDescent="0.25">
      <c r="B79" s="47"/>
      <c r="C79" s="47"/>
      <c r="D79" s="47"/>
      <c r="E79" s="47"/>
      <c r="F79" s="47"/>
      <c r="G79" s="46"/>
      <c r="H79" s="14"/>
      <c r="I79" s="149" t="s">
        <v>111</v>
      </c>
      <c r="J79" s="167">
        <f>B78*$V79</f>
        <v>0</v>
      </c>
      <c r="K79" s="167">
        <f t="shared" ref="K79" si="68">C78*$V79</f>
        <v>0</v>
      </c>
      <c r="L79" s="167">
        <f t="shared" ref="L79" si="69">D78*$V79</f>
        <v>0</v>
      </c>
      <c r="M79" s="167">
        <f>E78*$V79</f>
        <v>0</v>
      </c>
      <c r="N79" s="167">
        <f t="shared" ref="N79" si="70">F78*$V79</f>
        <v>0</v>
      </c>
      <c r="O79" s="21"/>
      <c r="P79" s="143"/>
      <c r="Q79" s="137"/>
      <c r="T79" s="272"/>
      <c r="U79" s="154" t="s">
        <v>127</v>
      </c>
      <c r="V79" s="274">
        <f>$J$118</f>
        <v>0.17599999999999999</v>
      </c>
      <c r="W79" s="155"/>
    </row>
    <row r="80" spans="1:23" hidden="1" outlineLevel="1" x14ac:dyDescent="0.25">
      <c r="B80" s="47"/>
      <c r="C80" s="47"/>
      <c r="D80" s="47"/>
      <c r="E80" s="47"/>
      <c r="F80" s="47"/>
      <c r="G80" s="46"/>
      <c r="H80" s="14"/>
      <c r="I80" s="45" t="s">
        <v>215</v>
      </c>
      <c r="J80" s="271"/>
      <c r="K80" s="271" t="str">
        <f>IF(ISNUMBER(J80),(IF(J80+1&lt;8,J80+1,J80))," ")</f>
        <v xml:space="preserve"> </v>
      </c>
      <c r="L80" s="271" t="str">
        <f t="shared" ref="L80" si="71">IF(ISNUMBER(K80),(IF(K80+1&lt;8,K80+1,K80))," ")</f>
        <v xml:space="preserve"> </v>
      </c>
      <c r="M80" s="271" t="str">
        <f t="shared" ref="M80" si="72">IF(ISNUMBER(L80),(IF(L80+1&lt;8,L80+1,L80))," ")</f>
        <v xml:space="preserve"> </v>
      </c>
      <c r="N80" s="271" t="str">
        <f t="shared" ref="N80" si="73">IF(ISNUMBER(M80),(IF(M80+1&lt;8,M80+1,M80))," ")</f>
        <v xml:space="preserve"> </v>
      </c>
      <c r="O80" s="129"/>
      <c r="P80" s="143"/>
      <c r="Q80" s="137"/>
      <c r="T80" s="78"/>
      <c r="V80" s="260"/>
    </row>
    <row r="81" spans="1:23" hidden="1" outlineLevel="1" x14ac:dyDescent="0.25">
      <c r="A81" s="361" t="s">
        <v>168</v>
      </c>
      <c r="B81" s="47"/>
      <c r="C81" s="47"/>
      <c r="D81" s="47"/>
      <c r="E81" s="47"/>
      <c r="F81" s="47"/>
      <c r="G81" s="46"/>
      <c r="H81" s="14"/>
      <c r="I81" s="89" t="s">
        <v>132</v>
      </c>
      <c r="J81" s="166">
        <f>J82*12</f>
        <v>0</v>
      </c>
      <c r="K81" s="166">
        <f t="shared" ref="K81" si="74">K82*12</f>
        <v>0</v>
      </c>
      <c r="L81" s="166">
        <f t="shared" ref="L81" si="75">L82*12</f>
        <v>0</v>
      </c>
      <c r="M81" s="166">
        <f t="shared" ref="M81" si="76">M82*12</f>
        <v>0</v>
      </c>
      <c r="N81" s="166">
        <f t="shared" ref="N81" si="77">N82*12</f>
        <v>0</v>
      </c>
      <c r="O81" s="41" t="s">
        <v>51</v>
      </c>
      <c r="P81" s="134" t="s">
        <v>130</v>
      </c>
      <c r="Q81" s="134" t="s">
        <v>131</v>
      </c>
      <c r="U81" s="1"/>
      <c r="V81" s="159"/>
    </row>
    <row r="82" spans="1:23" hidden="1" outlineLevel="1" x14ac:dyDescent="0.25">
      <c r="A82" s="13" t="e">
        <f>ROUND(P82*100, 2)&amp;"% Avg. Fiscal Effort, "&amp;ROUND(Q82, 2)&amp;" Avg. Calendar Months"</f>
        <v>#DIV/0!</v>
      </c>
      <c r="B82" s="47">
        <f>IF(ISNUMBER(J80),(HLOOKUP(J80,$AB$3:$AI$4,2,FALSE)*J82),O82*J82)</f>
        <v>0</v>
      </c>
      <c r="C82" s="47">
        <f>IF(ISNUMBER(K80),(HLOOKUP(K80,$AB$3:$AI$4,2,FALSE)*K82),IF($J$6&gt;1,IF($U$1&lt;&gt;0,IF(O82*(1+$O$6)&lt;=$U$1,O82*K82*(1+$O$6),$U$1*K82),O82*K82*(1+$O$6)),0))</f>
        <v>0</v>
      </c>
      <c r="D82" s="47">
        <f>IF(ISNUMBER(L80),(HLOOKUP(L80,$AB$3:$AI$4,2,FALSE)*L82),IF($J$6&gt;2,IF($U$1&lt;&gt;0,IF(O82*(1+$O$6)^2&lt;=$U$1,O82*L82*(1+$O$6)^2,$U$1*L82),O82*L82*(1+$O$6)^2),0))</f>
        <v>0</v>
      </c>
      <c r="E82" s="47">
        <f>IF(ISNUMBER(M80),(HLOOKUP(M80,$AB$3:$AI$4,2,FALSE)*M82),IF($J$6&gt;3,IF($U$1&lt;&gt;0,IF(O82*(1+$O$6)^3&lt;=$U$1,O82*M82*(1+$O$6)^3,$U$1*M82),O82*M82*(1+$O$6)^3),0))</f>
        <v>0</v>
      </c>
      <c r="F82" s="47">
        <f>IF(ISNUMBER(N80),(HLOOKUP(N80,$AB$3:$AI$4,2,FALSE)*N82),IF($J$6&gt;4,IF($U$1&lt;&gt;0,IF(O82*(1+$O$6)^4&lt;=$U$1,O82*N82*(1+$O$6)^4,$U$1*N82),O82*N82*(1+$O$6)^4),0))</f>
        <v>0</v>
      </c>
      <c r="G82" s="46">
        <f>SUM(B82:F82)</f>
        <v>0</v>
      </c>
      <c r="H82" s="14"/>
      <c r="I82" s="89" t="s">
        <v>26</v>
      </c>
      <c r="J82" s="265">
        <v>0</v>
      </c>
      <c r="K82" s="265">
        <f>IF($J$6&gt;1,J82,0)</f>
        <v>0</v>
      </c>
      <c r="L82" s="265">
        <f>IF($J$6&gt;2,K82,0)</f>
        <v>0</v>
      </c>
      <c r="M82" s="265">
        <f>IF($J$6&gt;3,L82,0)</f>
        <v>0</v>
      </c>
      <c r="N82" s="265">
        <f>IF($J$6&gt;4,M82,0)</f>
        <v>0</v>
      </c>
      <c r="O82" s="259">
        <f>T83</f>
        <v>0</v>
      </c>
      <c r="P82" s="135" t="e">
        <f>SUM(J81:N81)/(ROUNDUP($J$6,0)*12)</f>
        <v>#DIV/0!</v>
      </c>
      <c r="Q82" s="136" t="e">
        <f>(SUM(J81:N81)/(CEILING($J$6*12,12)))*12</f>
        <v>#DIV/0!</v>
      </c>
      <c r="T82" s="2"/>
      <c r="V82" s="159"/>
    </row>
    <row r="83" spans="1:23" hidden="1" outlineLevel="1" x14ac:dyDescent="0.25">
      <c r="B83" s="47"/>
      <c r="C83" s="47"/>
      <c r="D83" s="47"/>
      <c r="E83" s="47"/>
      <c r="F83" s="47"/>
      <c r="G83" s="46"/>
      <c r="H83" s="14"/>
      <c r="I83" s="149" t="s">
        <v>111</v>
      </c>
      <c r="J83" s="167">
        <f>B82*$V83</f>
        <v>0</v>
      </c>
      <c r="K83" s="167">
        <f t="shared" ref="K83" si="78">C82*$V83</f>
        <v>0</v>
      </c>
      <c r="L83" s="167">
        <f t="shared" ref="L83" si="79">D82*$V83</f>
        <v>0</v>
      </c>
      <c r="M83" s="167">
        <f>E82*$V83</f>
        <v>0</v>
      </c>
      <c r="N83" s="167">
        <f t="shared" ref="N83" si="80">F82*$V83</f>
        <v>0</v>
      </c>
      <c r="O83" s="21"/>
      <c r="P83" s="143"/>
      <c r="Q83" s="137"/>
      <c r="T83" s="272"/>
      <c r="U83" s="154" t="s">
        <v>127</v>
      </c>
      <c r="V83" s="274">
        <f>$J$118</f>
        <v>0.17599999999999999</v>
      </c>
      <c r="W83" s="155"/>
    </row>
    <row r="84" spans="1:23" outlineLevel="1" x14ac:dyDescent="0.25">
      <c r="B84" s="47"/>
      <c r="C84" s="47"/>
      <c r="D84" s="48"/>
      <c r="E84" s="48"/>
      <c r="F84" s="48"/>
      <c r="G84" s="46"/>
      <c r="H84" s="14"/>
      <c r="I84" s="45" t="s">
        <v>48</v>
      </c>
      <c r="J84" s="88" t="b">
        <f>IF(J86&gt;0%,IF(J86&lt;50%,IF(J86&gt;0,($U$3/2),0),$U$3),IF(J87&gt;0%,IF(J87&lt;50%,IF(J87&gt;0,($U$3/2),0),$U$3)))</f>
        <v>0</v>
      </c>
      <c r="K84" s="88" t="b">
        <f>IF(K86&gt;0%,IF(K86&lt;50%,IF(K86&gt;0,(($U$3*(1+$V$3))/2),0),($U$3*(1+$V$3))),IF(K87&gt;0%,IF(K87&lt;50%,IF(K87&gt;0,(($U$3*(1+$V$3))/2),0),($U$3*(1+$V$3)))))</f>
        <v>0</v>
      </c>
      <c r="L84" s="88" t="b">
        <f>IF(L86&gt;0%,IF(L86&lt;50%,IF(L86&gt;0,(($U$3*(1+$V$3)^2)/2),0),($U$3*(1+$V$3)^2)),IF(L87&gt;0%,IF(L87&lt;50%,IF(L87&gt;0,(($U$3*(1+$V$3)^2)/2),0),($U$3*(1+$V$3)^2))))</f>
        <v>0</v>
      </c>
      <c r="M84" s="88" t="b">
        <f>IF(M86&gt;0%,IF(M86&lt;50%,IF(M86&gt;0,(($U$3*(1+$V$3)^3)/2),0),($U$3*(1+$V$3)^3)),IF(M87&gt;0%,IF(M87&lt;50%,IF(M87&gt;0,(($U$3*(1+$V$3)^3)/2),0),($U$3*(1+$V$3)^3))))</f>
        <v>0</v>
      </c>
      <c r="N84" s="88" t="b">
        <f>IF(N86&gt;0%,IF(N86&lt;50%,IF(N86&gt;0,(($U$3*(1+$V$3)^4)/2),0),($U$3*(1+$V$3)^4)),IF(N87&gt;0%,IF(N87&lt;50%,IF(N87&gt;0,(($U$3*(1+$V$3)^4)/2),0),($U$3*(1+$V$3)^4))))</f>
        <v>0</v>
      </c>
      <c r="O84" s="41" t="s">
        <v>51</v>
      </c>
      <c r="P84" s="134"/>
      <c r="Q84" s="134"/>
      <c r="V84" s="160"/>
      <c r="W84" s="1"/>
    </row>
    <row r="85" spans="1:23" outlineLevel="1" x14ac:dyDescent="0.25">
      <c r="A85" s="361" t="s">
        <v>85</v>
      </c>
      <c r="B85" s="47"/>
      <c r="C85" s="47"/>
      <c r="D85" s="48"/>
      <c r="E85" s="48"/>
      <c r="F85" s="48"/>
      <c r="G85" s="46"/>
      <c r="H85" s="14"/>
      <c r="I85" s="89" t="s">
        <v>132</v>
      </c>
      <c r="J85" s="166">
        <f>IF($U89="F",J86*12,SUM(J87*9,J88))</f>
        <v>0</v>
      </c>
      <c r="K85" s="166">
        <f>IF($U89="F",K86*12,SUM(K87*9,K88))</f>
        <v>0</v>
      </c>
      <c r="L85" s="166">
        <f>IF($U89="F",L86*12,SUM(L87*9,L88))</f>
        <v>0</v>
      </c>
      <c r="M85" s="166">
        <f>IF($U89="F",M86*12,SUM(M87*9,M88))</f>
        <v>0</v>
      </c>
      <c r="N85" s="166">
        <f>IF($U89="F",N86*12,SUM(N87*9,N88))</f>
        <v>0</v>
      </c>
      <c r="O85" s="41"/>
      <c r="P85" s="134" t="s">
        <v>130</v>
      </c>
      <c r="Q85" s="134" t="s">
        <v>131</v>
      </c>
      <c r="V85" s="161"/>
      <c r="W85" s="1"/>
    </row>
    <row r="86" spans="1:23" outlineLevel="1" x14ac:dyDescent="0.25">
      <c r="A86" s="13" t="e">
        <f>ROUND(P86*100, 2)&amp;"% Avg. Fiscal Effort, "&amp;ROUND(Q86, 2)&amp;" Avg. Calendar Months"</f>
        <v>#DIV/0!</v>
      </c>
      <c r="B86" s="47">
        <f>O86*J86</f>
        <v>0</v>
      </c>
      <c r="C86" s="47">
        <f>IF($J$6&gt;1,IF($U$1&lt;&gt;0,IF(O86*(1+$O$6)&lt;=$U$1,O86*K86*(1+$O$6),$U$1*K86),O86*K86*(1+$O$6)),0)</f>
        <v>0</v>
      </c>
      <c r="D86" s="47">
        <f>IF($J$6&gt;2,IF($U$1&lt;&gt;0,IF(O86*(1+$O$6)^2&lt;=$U$1,O86*L86*(1+$O$6)^2,$U$1*L86),O86*L86*(1+$O$6)^2),0)</f>
        <v>0</v>
      </c>
      <c r="E86" s="47">
        <f>IF($J$6&gt;3,IF($U$1&lt;&gt;0,IF(O86*(1+$O$6)^3&lt;=$U$1,O86*M86*(1+$O$6)^3,$U$1*M86),O86*M86*(1+$O$6)^3),0)</f>
        <v>0</v>
      </c>
      <c r="F86" s="47">
        <f>IF($J$6&gt;4,IF($U$1&lt;&gt;0,IF(O86*(1+$O$6)^4&lt;=$U$1,O86*N86*(1+$O$6)^4,$U$1*N86),O86*N86*(1+$O$6)^4),0)</f>
        <v>0</v>
      </c>
      <c r="G86" s="46">
        <f>SUM(B86:F86)</f>
        <v>0</v>
      </c>
      <c r="H86" s="14"/>
      <c r="I86" s="89" t="s">
        <v>26</v>
      </c>
      <c r="J86" s="265">
        <v>0</v>
      </c>
      <c r="K86" s="265">
        <f>IF($J$6&gt;1,J86,0)</f>
        <v>0</v>
      </c>
      <c r="L86" s="265">
        <f>IF($J$6&gt;2,K86,0)</f>
        <v>0</v>
      </c>
      <c r="M86" s="265">
        <f>IF($J$6&gt;3,L86,0)</f>
        <v>0</v>
      </c>
      <c r="N86" s="265">
        <f>IF($J$6&gt;4,M86,0)</f>
        <v>0</v>
      </c>
      <c r="O86" s="128">
        <f>IF(U89="F",IF($U$1&lt;&gt;0,IF(T89&gt;$U$1,$U$1,T89),T89),0)</f>
        <v>0</v>
      </c>
      <c r="P86" s="135" t="e">
        <f>SUM(J85:N85)/(ROUNDUP($J$6,0)*12)</f>
        <v>#DIV/0!</v>
      </c>
      <c r="Q86" s="136" t="e">
        <f>(SUM(J85:N85)/(CEILING($J$6*12,12)))*12</f>
        <v>#DIV/0!</v>
      </c>
      <c r="T86" s="78"/>
      <c r="V86" s="159"/>
      <c r="W86" s="1"/>
    </row>
    <row r="87" spans="1:23" ht="17.850000000000001" customHeight="1" outlineLevel="1" x14ac:dyDescent="0.25">
      <c r="A87" s="376" t="e">
        <f>ROUND(P86*100,2)&amp;"% Annualized Effort, "&amp;ROUND(Q87,2)&amp;" Avg. Academic Months
"&amp;IF(SUM(J88:N88)&gt;0," and "&amp;Q88 &amp;" Avg. Summer Months", "")</f>
        <v>#DIV/0!</v>
      </c>
      <c r="B87" s="47">
        <f>J87*O87</f>
        <v>0</v>
      </c>
      <c r="C87" s="47">
        <f>IF($J$6&gt;1,IF($U$1&lt;&gt;0,IF(O87*(1+$O$6)&lt;=$U$1*0.75,O87*K87*(1+$O$6),$U$1*0.75*K87),O87*K87*(1+$O$6)),0)</f>
        <v>0</v>
      </c>
      <c r="D87" s="47">
        <f>IF($J$6&gt;2,IF($U$1&lt;&gt;0,IF(O87*(1+$O$6)^2&lt;=$U$1*0.75,O87*L87*(1+$O$6)^2,$U$1*0.75*L87),O87*L87*(1+$O$6)^2),0)</f>
        <v>0</v>
      </c>
      <c r="E87" s="47">
        <f>IF($J$6&gt;3,IF($U$1&lt;&gt;0,IF(O87*(1+$O$6)^3&lt;=$U$1*0.75,O87*M87*(1+$O$6)^3,$U$1*0.75*M87),O87*M87*(1+$O$6)^3),0)</f>
        <v>0</v>
      </c>
      <c r="F87" s="47">
        <f>IF($J$6&gt;4,IF($U$1&lt;&gt;0,IF(O87*(1+$O$6)^4&lt;=$U$1*0.75,O87*N87*(1+$O$6)^4,$U$1*0.75*N87),O87*N87*(1+$O$6)^4),0)</f>
        <v>0</v>
      </c>
      <c r="G87" s="46">
        <f>SUM(B87:F87)</f>
        <v>0</v>
      </c>
      <c r="H87" s="14"/>
      <c r="I87" s="89" t="s">
        <v>15</v>
      </c>
      <c r="J87" s="265">
        <v>0</v>
      </c>
      <c r="K87" s="265">
        <f t="shared" ref="K87:K88" si="81">IF($J$6&gt;1,J87,0)</f>
        <v>0</v>
      </c>
      <c r="L87" s="265">
        <f t="shared" ref="L87:L88" si="82">IF($J$6&gt;2,K87,0)</f>
        <v>0</v>
      </c>
      <c r="M87" s="265">
        <f t="shared" ref="M87:M88" si="83">IF($J$6&gt;3,L87,0)</f>
        <v>0</v>
      </c>
      <c r="N87" s="265">
        <f t="shared" ref="N87:N88" si="84">IF($J$6&gt;4,M87,0)</f>
        <v>0</v>
      </c>
      <c r="O87" s="128">
        <f>IF(U89="A",IF($U$1&lt;&gt;0,IF(T89&gt;($U$1/12*9),($U$1/12*9),T89),T89),0)</f>
        <v>0</v>
      </c>
      <c r="P87" s="143"/>
      <c r="Q87" s="137" t="e">
        <f>((SUM(J85:N85)-SUM(J88:N88))/(CEILING($J$6*9,9)))*9</f>
        <v>#DIV/0!</v>
      </c>
      <c r="R87" s="12"/>
      <c r="S87" s="12"/>
      <c r="T87" s="78"/>
      <c r="V87" s="159"/>
      <c r="W87" s="1"/>
    </row>
    <row r="88" spans="1:23" outlineLevel="1" x14ac:dyDescent="0.25">
      <c r="A88" s="376"/>
      <c r="B88" s="47">
        <f>J88/3*O88</f>
        <v>0</v>
      </c>
      <c r="C88" s="47">
        <f>IF($J$6&gt;1,IF($U$1&lt;&gt;0,IF(O88*(1+$O$6)&lt;=$U$1*0.25,O88*K88/3*(1+$O$6),$U$1*0.25*K88/3),O88*K88/3*(1+$O$6)),0)</f>
        <v>0</v>
      </c>
      <c r="D88" s="47">
        <f>IF($J$6&gt;2,IF($U$1&lt;&gt;0,IF(O88*(1+$O$6)^2&lt;=$U$1*0.25,O88*L88/3*(1+$O$6)^2,$U$1*0.25*L88/3),O88*L88/3*(1+$O$6)^2),0)</f>
        <v>0</v>
      </c>
      <c r="E88" s="47">
        <f>IF($J$6&gt;3,IF($U$1&lt;&gt;0,IF(O88*(1+$O$6)^3&lt;=$U$1*0.25,O88*M88/3*(1+$O$6)^3,$U$1*0.25*M88/3),O88*M88/3*(1+$O$6)^3),0)</f>
        <v>0</v>
      </c>
      <c r="F88" s="47">
        <f>IF($J$6&gt;4,IF($U$1&lt;&gt;0,IF(O88*(1+$O$6)^4&lt;=$U$1*0.25,O88*N88/3*(1+$O$6)^4,$U$1*0.25*N88/3),O88*N88/3*(1+$O$6)^4),0)</f>
        <v>0</v>
      </c>
      <c r="G88" s="46">
        <f>SUM(B88:F88)</f>
        <v>0</v>
      </c>
      <c r="H88" s="14"/>
      <c r="I88" s="89" t="s">
        <v>17</v>
      </c>
      <c r="J88" s="266">
        <v>0</v>
      </c>
      <c r="K88" s="266">
        <f t="shared" si="81"/>
        <v>0</v>
      </c>
      <c r="L88" s="266">
        <f t="shared" si="82"/>
        <v>0</v>
      </c>
      <c r="M88" s="266">
        <f t="shared" si="83"/>
        <v>0</v>
      </c>
      <c r="N88" s="266">
        <f t="shared" si="84"/>
        <v>0</v>
      </c>
      <c r="O88" s="128">
        <f>O87*0.000731*456</f>
        <v>0</v>
      </c>
      <c r="P88" s="138"/>
      <c r="Q88" s="138" t="e">
        <f>((SUM(J85:N85)-SUM(J87:N87)*9)/(CEILING($J$6*3,3)))*3</f>
        <v>#DIV/0!</v>
      </c>
      <c r="R88" s="12"/>
      <c r="S88" s="12"/>
      <c r="V88" s="162"/>
      <c r="W88" s="1"/>
    </row>
    <row r="89" spans="1:23" outlineLevel="1" x14ac:dyDescent="0.25">
      <c r="A89" s="13"/>
      <c r="B89" s="47"/>
      <c r="C89" s="47"/>
      <c r="D89" s="47"/>
      <c r="E89" s="47"/>
      <c r="F89" s="47"/>
      <c r="G89" s="46"/>
      <c r="H89" s="14"/>
      <c r="I89" s="149" t="s">
        <v>111</v>
      </c>
      <c r="J89" s="148">
        <f>SUM(B86:B88)*$V89</f>
        <v>0</v>
      </c>
      <c r="K89" s="148">
        <f t="shared" ref="K89:N89" si="85">SUM(C86:C88)*$V89</f>
        <v>0</v>
      </c>
      <c r="L89" s="148">
        <f t="shared" si="85"/>
        <v>0</v>
      </c>
      <c r="M89" s="148">
        <f t="shared" si="85"/>
        <v>0</v>
      </c>
      <c r="N89" s="148">
        <f t="shared" si="85"/>
        <v>0</v>
      </c>
      <c r="O89" s="147"/>
      <c r="P89" s="138"/>
      <c r="Q89" s="138"/>
      <c r="R89" s="12"/>
      <c r="S89" s="12"/>
      <c r="T89" s="272"/>
      <c r="U89" s="273"/>
      <c r="V89" s="274">
        <v>0.13</v>
      </c>
      <c r="W89" s="156"/>
    </row>
    <row r="90" spans="1:23" outlineLevel="1" x14ac:dyDescent="0.25">
      <c r="B90" s="47"/>
      <c r="C90" s="47"/>
      <c r="D90" s="48"/>
      <c r="E90" s="48"/>
      <c r="F90" s="48"/>
      <c r="G90" s="46"/>
      <c r="H90" s="14"/>
      <c r="I90" s="45" t="s">
        <v>48</v>
      </c>
      <c r="J90" s="88" t="b">
        <f>IF(J92&gt;0%,IF(J92&lt;50%,IF(J92&gt;0,($U$3/2),0),$U$3),IF(J93&gt;0%,IF(J93&lt;50%,IF(J93&gt;0,($U$3/2),0),$U$3)))</f>
        <v>0</v>
      </c>
      <c r="K90" s="88" t="b">
        <f>IF(K92&gt;0%,IF(K92&lt;50%,IF(K92&gt;0,(($U$3*(1+$V$3))/2),0),($U$3*(1+$V$3))),IF(K93&gt;0%,IF(K93&lt;50%,IF(K93&gt;0,(($U$3*(1+$V$3))/2),0),($U$3*(1+$V$3)))))</f>
        <v>0</v>
      </c>
      <c r="L90" s="88" t="b">
        <f>IF(L92&gt;0%,IF(L92&lt;50%,IF(L92&gt;0,(($U$3*(1+$V$3)^2)/2),0),($U$3*(1+$V$3)^2)),IF(L93&gt;0%,IF(L93&lt;50%,IF(L93&gt;0,(($U$3*(1+$V$3)^2)/2),0),($U$3*(1+$V$3)^2))))</f>
        <v>0</v>
      </c>
      <c r="M90" s="88" t="b">
        <f>IF(M92&gt;0%,IF(M92&lt;50%,IF(M92&gt;0,(($U$3*(1+$V$3)^3)/2),0),($U$3*(1+$V$3)^3)),IF(M93&gt;0%,IF(M93&lt;50%,IF(M93&gt;0,(($U$3*(1+$V$3)^3)/2),0),($U$3*(1+$V$3)^3))))</f>
        <v>0</v>
      </c>
      <c r="N90" s="88" t="b">
        <f>IF(N92&gt;0%,IF(N92&lt;50%,IF(N92&gt;0,(($U$3*(1+$V$3)^4)/2),0),($U$3*(1+$V$3)^4)),IF(N93&gt;0%,IF(N93&lt;50%,IF(N93&gt;0,(($U$3*(1+$V$3)^4)/2),0),($U$3*(1+$V$3)^4))))</f>
        <v>0</v>
      </c>
      <c r="O90" s="41" t="s">
        <v>51</v>
      </c>
      <c r="P90" s="134"/>
      <c r="Q90" s="134"/>
      <c r="U90" s="1"/>
      <c r="V90" s="163"/>
      <c r="W90" s="1"/>
    </row>
    <row r="91" spans="1:23" outlineLevel="1" x14ac:dyDescent="0.25">
      <c r="A91" s="361" t="s">
        <v>85</v>
      </c>
      <c r="B91" s="47"/>
      <c r="C91" s="47"/>
      <c r="D91" s="48"/>
      <c r="E91" s="48"/>
      <c r="F91" s="48"/>
      <c r="G91" s="46"/>
      <c r="H91" s="14"/>
      <c r="I91" s="89" t="s">
        <v>132</v>
      </c>
      <c r="J91" s="166">
        <f>IF($U95="F",J92*12,SUM(J93*9,J94))</f>
        <v>0</v>
      </c>
      <c r="K91" s="166">
        <f>IF($U95="F",K92*12,SUM(K93*9,K94))</f>
        <v>0</v>
      </c>
      <c r="L91" s="166">
        <f>IF($U95="F",L92*12,SUM(L93*9,L94))</f>
        <v>0</v>
      </c>
      <c r="M91" s="166">
        <f>IF($U95="F",M92*12,SUM(M93*9,M94))</f>
        <v>0</v>
      </c>
      <c r="N91" s="166">
        <f>IF($U95="F",N92*12,SUM(N93*9,N94))</f>
        <v>0</v>
      </c>
      <c r="O91" s="41"/>
      <c r="P91" s="134" t="s">
        <v>130</v>
      </c>
      <c r="Q91" s="134" t="s">
        <v>131</v>
      </c>
      <c r="V91" s="163"/>
      <c r="W91" s="1"/>
    </row>
    <row r="92" spans="1:23" outlineLevel="1" x14ac:dyDescent="0.25">
      <c r="A92" s="13" t="e">
        <f>ROUND(P92*100, 2)&amp;"% Avg. Fiscal Effort, "&amp;ROUND(Q92, 2)&amp;" Avg. Calendar Months"</f>
        <v>#DIV/0!</v>
      </c>
      <c r="B92" s="47">
        <f>O92*J92</f>
        <v>0</v>
      </c>
      <c r="C92" s="47">
        <f>IF($J$6&gt;1,IF($U$1&lt;&gt;0,IF(O92*(1+$O$6)&lt;=$U$1,O92*K92*(1+$O$6),$U$1*K92),O92*K92*(1+$O$6)),0)</f>
        <v>0</v>
      </c>
      <c r="D92" s="47">
        <f>IF($J$6&gt;2,IF($U$1&lt;&gt;0,IF(O92*(1+$O$6)^2&lt;=$U$1,O92*L92*(1+$O$6)^2,$U$1*L92),O92*L92*(1+$O$6)^2),0)</f>
        <v>0</v>
      </c>
      <c r="E92" s="47">
        <f>IF($J$6&gt;3,IF($U$1&lt;&gt;0,IF(O92*(1+$O$6)^3&lt;=$U$1,O92*M92*(1+$O$6)^3,$U$1*M92),O92*M92*(1+$O$6)^3),0)</f>
        <v>0</v>
      </c>
      <c r="F92" s="47">
        <f>IF($J$6&gt;4,IF($U$1&lt;&gt;0,IF(O92*(1+$O$6)^4&lt;=$U$1,O92*N92*(1+$O$6)^4,$U$1*N92),O92*N92*(1+$O$6)^4),0)</f>
        <v>0</v>
      </c>
      <c r="G92" s="46">
        <f>SUM(B92:F92)</f>
        <v>0</v>
      </c>
      <c r="H92" s="14"/>
      <c r="I92" s="89" t="s">
        <v>26</v>
      </c>
      <c r="J92" s="265">
        <v>0</v>
      </c>
      <c r="K92" s="265">
        <f>IF($J$6&gt;1,J92,0)</f>
        <v>0</v>
      </c>
      <c r="L92" s="265">
        <f>IF($J$6&gt;2,K92,0)</f>
        <v>0</v>
      </c>
      <c r="M92" s="265">
        <f>IF($J$6&gt;3,L92,0)</f>
        <v>0</v>
      </c>
      <c r="N92" s="265">
        <f>IF($J$6&gt;4,M92,0)</f>
        <v>0</v>
      </c>
      <c r="O92" s="128">
        <f>IF(U95="F",IF($U$1&lt;&gt;0,IF(T95&gt;$U$1,$U$1,T95),T95),0)</f>
        <v>0</v>
      </c>
      <c r="P92" s="135" t="e">
        <f>SUM(J91:N91)/(ROUNDUP($J$6,0)*12)</f>
        <v>#DIV/0!</v>
      </c>
      <c r="Q92" s="136" t="e">
        <f>(SUM(J91:N91)/(CEILING($J$6*12,12)))*12</f>
        <v>#DIV/0!</v>
      </c>
      <c r="T92" s="78"/>
      <c r="V92" s="162"/>
      <c r="W92" s="1"/>
    </row>
    <row r="93" spans="1:23" ht="17.850000000000001" customHeight="1" outlineLevel="1" x14ac:dyDescent="0.25">
      <c r="A93" s="376" t="e">
        <f>ROUND(P92*100,2)&amp;"% Annualized Effort, "&amp;ROUND(Q93,2)&amp;" Avg. Academic Months
"&amp;IF(SUM(J94:N94)&gt;0," and "&amp;Q94 &amp;" Avg. Summer Months", "")</f>
        <v>#DIV/0!</v>
      </c>
      <c r="B93" s="47">
        <f>J93*O93</f>
        <v>0</v>
      </c>
      <c r="C93" s="47">
        <f>IF($J$6&gt;1,IF($U$1&lt;&gt;0,IF(O93*(1+$O$6)&lt;=$U$1*0.75,O93*K93*(1+$O$6),$U$1*0.75*K93),O93*K93*(1+$O$6)),0)</f>
        <v>0</v>
      </c>
      <c r="D93" s="47">
        <f>IF($J$6&gt;2,IF($U$1&lt;&gt;0,IF(O93*(1+$O$6)^2&lt;=$U$1*0.75,O93*L93*(1+$O$6)^2,$U$1*0.75*L93),O93*L93*(1+$O$6)^2),0)</f>
        <v>0</v>
      </c>
      <c r="E93" s="47">
        <f>IF($J$6&gt;3,IF($U$1&lt;&gt;0,IF(O93*(1+$O$6)^3&lt;=$U$1*0.75,O93*M93*(1+$O$6)^3,$U$1*0.75*M93),O93*M93*(1+$O$6)^3),0)</f>
        <v>0</v>
      </c>
      <c r="F93" s="47">
        <f>IF($J$6&gt;4,IF($U$1&lt;&gt;0,IF(O93*(1+$O$6)^4&lt;=$U$1*0.75,O93*N93*(1+$O$6)^4,$U$1*0.75*N93),O93*N93*(1+$O$6)^4),0)</f>
        <v>0</v>
      </c>
      <c r="G93" s="46">
        <f>SUM(B93:F93)</f>
        <v>0</v>
      </c>
      <c r="H93" s="14"/>
      <c r="I93" s="89" t="s">
        <v>15</v>
      </c>
      <c r="J93" s="265">
        <v>0</v>
      </c>
      <c r="K93" s="265">
        <f t="shared" ref="K93:K94" si="86">IF($J$6&gt;1,J93,0)</f>
        <v>0</v>
      </c>
      <c r="L93" s="265">
        <f t="shared" ref="L93:L94" si="87">IF($J$6&gt;2,K93,0)</f>
        <v>0</v>
      </c>
      <c r="M93" s="265">
        <f t="shared" ref="M93:M94" si="88">IF($J$6&gt;3,L93,0)</f>
        <v>0</v>
      </c>
      <c r="N93" s="265">
        <f t="shared" ref="N93:N94" si="89">IF($J$6&gt;4,M93,0)</f>
        <v>0</v>
      </c>
      <c r="O93" s="128">
        <f>IF(U95="A",IF($U$1&lt;&gt;0,IF(T95&gt;($U$1/12*9),($U$1/12*9),T95),T95),0)</f>
        <v>0</v>
      </c>
      <c r="P93" s="143"/>
      <c r="Q93" s="137" t="e">
        <f>((SUM(J91:N91)-SUM(J94:N94))/(CEILING($J$6*9,9)))*9</f>
        <v>#DIV/0!</v>
      </c>
      <c r="R93" s="12"/>
      <c r="S93" s="12"/>
      <c r="T93" s="78"/>
      <c r="V93" s="162"/>
      <c r="W93" s="1"/>
    </row>
    <row r="94" spans="1:23" outlineLevel="1" x14ac:dyDescent="0.25">
      <c r="A94" s="376"/>
      <c r="B94" s="47">
        <f>J94/3*O94</f>
        <v>0</v>
      </c>
      <c r="C94" s="47">
        <f>IF($J$6&gt;1,IF($U$1&lt;&gt;0,IF(O94*(1+$O$6)&lt;=$U$1*0.25,O94*K94/3*(1+$O$6),$U$1*0.25*K94/3),O94*K94/3*(1+$O$6)),0)</f>
        <v>0</v>
      </c>
      <c r="D94" s="47">
        <f>IF($J$6&gt;2,IF($U$1&lt;&gt;0,IF(O94*(1+$O$6)^2&lt;=$U$1*0.25,O94*L94/3*(1+$O$6)^2,$U$1*0.25*L94/3),O94*L94/3*(1+$O$6)^2),0)</f>
        <v>0</v>
      </c>
      <c r="E94" s="47">
        <f>IF($J$6&gt;3,IF($U$1&lt;&gt;0,IF(O94*(1+$O$6)^3&lt;=$U$1*0.25,O94*M94/3*(1+$O$6)^3,$U$1*0.25*M94/3),O94*M94/3*(1+$O$6)^3),0)</f>
        <v>0</v>
      </c>
      <c r="F94" s="47">
        <f>IF($J$6&gt;4,IF($U$1&lt;&gt;0,IF(O94*(1+$O$6)^4&lt;=$U$1*0.25,O94*N94/3*(1+$O$6)^4,$U$1*0.25*N94/3),O94*N94/3*(1+$O$6)^4),0)</f>
        <v>0</v>
      </c>
      <c r="G94" s="46">
        <f>SUM(B94:F94)</f>
        <v>0</v>
      </c>
      <c r="H94" s="14"/>
      <c r="I94" s="89" t="s">
        <v>17</v>
      </c>
      <c r="J94" s="266">
        <v>0</v>
      </c>
      <c r="K94" s="266">
        <f t="shared" si="86"/>
        <v>0</v>
      </c>
      <c r="L94" s="266">
        <f t="shared" si="87"/>
        <v>0</v>
      </c>
      <c r="M94" s="266">
        <f t="shared" si="88"/>
        <v>0</v>
      </c>
      <c r="N94" s="266">
        <f t="shared" si="89"/>
        <v>0</v>
      </c>
      <c r="O94" s="128">
        <f>O93*0.000731*456</f>
        <v>0</v>
      </c>
      <c r="P94" s="138"/>
      <c r="Q94" s="138" t="e">
        <f>((SUM(J91:N91)-SUM(J93:N93)*9)/(CEILING($J$6*3,3)))*3</f>
        <v>#DIV/0!</v>
      </c>
      <c r="R94" s="12"/>
      <c r="S94" s="12"/>
      <c r="V94" s="162"/>
      <c r="W94" s="1"/>
    </row>
    <row r="95" spans="1:23" outlineLevel="1" x14ac:dyDescent="0.25">
      <c r="A95" s="13"/>
      <c r="B95" s="47"/>
      <c r="C95" s="47"/>
      <c r="D95" s="47"/>
      <c r="E95" s="47"/>
      <c r="F95" s="47"/>
      <c r="G95" s="46"/>
      <c r="H95" s="14"/>
      <c r="I95" s="149" t="s">
        <v>111</v>
      </c>
      <c r="J95" s="148">
        <f>SUM(B92:B94)*$V95</f>
        <v>0</v>
      </c>
      <c r="K95" s="148">
        <f t="shared" ref="K95" si="90">SUM(C92:C94)*$V95</f>
        <v>0</v>
      </c>
      <c r="L95" s="148">
        <f t="shared" ref="L95" si="91">SUM(D92:D94)*$V95</f>
        <v>0</v>
      </c>
      <c r="M95" s="148">
        <f t="shared" ref="M95" si="92">SUM(E92:E94)*$V95</f>
        <v>0</v>
      </c>
      <c r="N95" s="148">
        <f t="shared" ref="N95" si="93">SUM(F92:F94)*$V95</f>
        <v>0</v>
      </c>
      <c r="O95" s="147"/>
      <c r="P95" s="138"/>
      <c r="Q95" s="138"/>
      <c r="R95" s="12"/>
      <c r="S95" s="12"/>
      <c r="T95" s="272"/>
      <c r="U95" s="273"/>
      <c r="V95" s="274">
        <v>0.31900000000000001</v>
      </c>
      <c r="W95" s="156"/>
    </row>
    <row r="96" spans="1:23" hidden="1" outlineLevel="1" x14ac:dyDescent="0.25">
      <c r="B96" s="47"/>
      <c r="C96" s="47"/>
      <c r="D96" s="47"/>
      <c r="E96" s="47"/>
      <c r="F96" s="47"/>
      <c r="G96" s="46"/>
      <c r="H96" s="14"/>
      <c r="I96" s="45" t="s">
        <v>48</v>
      </c>
      <c r="J96" s="88" t="b">
        <f>IF(J98&gt;0%,IF(J98&lt;50%,IF(J98&gt;0,($U$3/2),0),$U$3),IF(J99&gt;0%,IF(J99&lt;50%,IF(J99&gt;0,($U$3/2),0),$U$3)))</f>
        <v>0</v>
      </c>
      <c r="K96" s="88" t="b">
        <f>IF(K98&gt;0%,IF(K98&lt;50%,IF(K98&gt;0,(($U$3*(1+$V$3))/2),0),($U$3*(1+$V$3))),IF(K99&gt;0%,IF(K99&lt;50%,IF(K99&gt;0,(($U$3*(1+$V$3))/2),0),($U$3*(1+$V$3)))))</f>
        <v>0</v>
      </c>
      <c r="L96" s="88" t="b">
        <f>IF(L98&gt;0%,IF(L98&lt;50%,IF(L98&gt;0,(($U$3*(1+$V$3)^2)/2),0),($U$3*(1+$V$3)^2)),IF(L99&gt;0%,IF(L99&lt;50%,IF(L99&gt;0,(($U$3*(1+$V$3)^2)/2),0),($U$3*(1+$V$3)^2))))</f>
        <v>0</v>
      </c>
      <c r="M96" s="88" t="b">
        <f>IF(M98&gt;0%,IF(M98&lt;50%,IF(M98&gt;0,(($U$3*(1+$V$3)^3)/2),0),($U$3*(1+$V$3)^3)),IF(M99&gt;0%,IF(M99&lt;50%,IF(M99&gt;0,(($U$3*(1+$V$3)^3)/2),0),($U$3*(1+$V$3)^3))))</f>
        <v>0</v>
      </c>
      <c r="N96" s="88" t="b">
        <f>IF(N98&gt;0%,IF(N98&lt;50%,IF(N98&gt;0,(($U$3*(1+$V$3)^4)/2),0),($U$3*(1+$V$3)^4)),IF(N99&gt;0%,IF(N99&lt;50%,IF(N99&gt;0,(($U$3*(1+$V$3)^4)/2),0),($U$3*(1+$V$3)^4))))</f>
        <v>0</v>
      </c>
      <c r="O96" s="41" t="s">
        <v>51</v>
      </c>
      <c r="P96" s="134"/>
      <c r="Q96" s="134"/>
      <c r="U96" s="1"/>
      <c r="V96" s="163"/>
      <c r="W96" s="1"/>
    </row>
    <row r="97" spans="1:23" hidden="1" outlineLevel="1" x14ac:dyDescent="0.25">
      <c r="A97" s="361" t="s">
        <v>85</v>
      </c>
      <c r="B97" s="47"/>
      <c r="C97" s="47"/>
      <c r="D97" s="47"/>
      <c r="E97" s="47"/>
      <c r="F97" s="47"/>
      <c r="G97" s="46"/>
      <c r="H97" s="14"/>
      <c r="I97" s="89" t="s">
        <v>132</v>
      </c>
      <c r="J97" s="166">
        <f>IF($U101="F",J98*12,SUM(J99*9,J100))</f>
        <v>0</v>
      </c>
      <c r="K97" s="166">
        <f>IF($U101="F",K98*12,SUM(K99*9,K100))</f>
        <v>0</v>
      </c>
      <c r="L97" s="166">
        <f>IF($U101="F",L98*12,SUM(L99*9,L100))</f>
        <v>0</v>
      </c>
      <c r="M97" s="166">
        <f>IF($U101="F",M98*12,SUM(M99*9,M100))</f>
        <v>0</v>
      </c>
      <c r="N97" s="166">
        <f>IF($U101="F",N98*12,SUM(N99*9,N100))</f>
        <v>0</v>
      </c>
      <c r="O97" s="41"/>
      <c r="P97" s="134" t="s">
        <v>130</v>
      </c>
      <c r="Q97" s="134" t="s">
        <v>131</v>
      </c>
      <c r="V97" s="163"/>
      <c r="W97" s="1"/>
    </row>
    <row r="98" spans="1:23" hidden="1" outlineLevel="1" x14ac:dyDescent="0.25">
      <c r="A98" s="13" t="e">
        <f>ROUND(P98*100, 2)&amp;"% Avg. Fiscal Effort, "&amp;ROUND(Q98, 2)&amp;" Avg. Calendar Months"</f>
        <v>#DIV/0!</v>
      </c>
      <c r="B98" s="47">
        <f>O98*J98</f>
        <v>0</v>
      </c>
      <c r="C98" s="47">
        <f>IF($J$6&gt;1,IF($U$1&lt;&gt;0,IF(O98*(1+$O$6)&lt;=$U$1,O98*K98*(1+$O$6),$U$1*K98),O98*K98*(1+$O$6)),0)</f>
        <v>0</v>
      </c>
      <c r="D98" s="47">
        <f>IF($J$6&gt;2,IF($U$1&lt;&gt;0,IF(O98*(1+$O$6)^2&lt;=$U$1,O98*L98*(1+$O$6)^2,$U$1*L98),O98*L98*(1+$O$6)^2),0)</f>
        <v>0</v>
      </c>
      <c r="E98" s="47">
        <f>IF($J$6&gt;3,IF($U$1&lt;&gt;0,IF(O98*(1+$O$6)^3&lt;=$U$1,O98*M98*(1+$O$6)^3,$U$1*M98),O98*M98*(1+$O$6)^3),0)</f>
        <v>0</v>
      </c>
      <c r="F98" s="47">
        <f>IF($J$6&gt;4,IF($U$1&lt;&gt;0,IF(O98*(1+$O$6)^4&lt;=$U$1,O98*N98*(1+$O$6)^4,$U$1*N98),O98*N98*(1+$O$6)^4),0)</f>
        <v>0</v>
      </c>
      <c r="G98" s="46">
        <f>SUM(B98:F98)</f>
        <v>0</v>
      </c>
      <c r="H98" s="14"/>
      <c r="I98" s="89" t="s">
        <v>26</v>
      </c>
      <c r="J98" s="265">
        <v>0</v>
      </c>
      <c r="K98" s="265">
        <f>IF($J$6&gt;1,J98,0)</f>
        <v>0</v>
      </c>
      <c r="L98" s="265">
        <f>IF($J$6&gt;2,K98,0)</f>
        <v>0</v>
      </c>
      <c r="M98" s="265">
        <f>IF($J$6&gt;3,L98,0)</f>
        <v>0</v>
      </c>
      <c r="N98" s="265">
        <f>IF($J$6&gt;4,M98,0)</f>
        <v>0</v>
      </c>
      <c r="O98" s="128">
        <f>IF(U101="F",IF($U$1&lt;&gt;0,IF(T101&gt;$U$1,$U$1,T101),T101),0)</f>
        <v>0</v>
      </c>
      <c r="P98" s="135" t="e">
        <f>SUM(J97:N97)/(ROUNDUP($J$6,0)*12)</f>
        <v>#DIV/0!</v>
      </c>
      <c r="Q98" s="136" t="e">
        <f>(SUM(J97:N97)/(CEILING($J$6*12,12)))*12</f>
        <v>#DIV/0!</v>
      </c>
      <c r="T98" s="78"/>
      <c r="V98" s="162"/>
      <c r="W98" s="1"/>
    </row>
    <row r="99" spans="1:23" ht="17.850000000000001" hidden="1" customHeight="1" outlineLevel="1" x14ac:dyDescent="0.25">
      <c r="A99" s="376" t="e">
        <f>ROUND(P98*100,2)&amp;"% Annualized Effort, "&amp;ROUND(Q99,2)&amp;" Avg. Academic Months
"&amp;IF(SUM(J100:N100)&gt;0," and "&amp;Q100 &amp;" Avg. Summer Months", "")</f>
        <v>#DIV/0!</v>
      </c>
      <c r="B99" s="47">
        <f>J99*O99</f>
        <v>0</v>
      </c>
      <c r="C99" s="47">
        <f>IF($J$6&gt;1,IF($U$1&lt;&gt;0,IF(O99*(1+$O$6)&lt;=$U$1*0.75,O99*K99*(1+$O$6),$U$1*0.75*K99),O99*K99*(1+$O$6)),0)</f>
        <v>0</v>
      </c>
      <c r="D99" s="47">
        <f>IF($J$6&gt;2,IF($U$1&lt;&gt;0,IF(O99*(1+$O$6)^2&lt;=$U$1*0.75,O99*L99*(1+$O$6)^2,$U$1*0.75*L99),O99*L99*(1+$O$6)^2),0)</f>
        <v>0</v>
      </c>
      <c r="E99" s="47">
        <f>IF($J$6&gt;3,IF($U$1&lt;&gt;0,IF(O99*(1+$O$6)^3&lt;=$U$1*0.75,O99*M99*(1+$O$6)^3,$U$1*0.75*M99),O99*M99*(1+$O$6)^3),0)</f>
        <v>0</v>
      </c>
      <c r="F99" s="47">
        <f>IF($J$6&gt;4,IF($U$1&lt;&gt;0,IF(O99*(1+$O$6)^4&lt;=$U$1*0.75,O99*N99*(1+$O$6)^4,$U$1*0.75*N99),O99*N99*(1+$O$6)^4),0)</f>
        <v>0</v>
      </c>
      <c r="G99" s="46">
        <f>SUM(B99:F99)</f>
        <v>0</v>
      </c>
      <c r="H99" s="14"/>
      <c r="I99" s="89" t="s">
        <v>15</v>
      </c>
      <c r="J99" s="265">
        <v>0</v>
      </c>
      <c r="K99" s="265">
        <f t="shared" ref="K99:K100" si="94">IF($J$6&gt;1,J99,0)</f>
        <v>0</v>
      </c>
      <c r="L99" s="265">
        <f t="shared" ref="L99:L100" si="95">IF($J$6&gt;2,K99,0)</f>
        <v>0</v>
      </c>
      <c r="M99" s="265">
        <f t="shared" ref="M99:M100" si="96">IF($J$6&gt;3,L99,0)</f>
        <v>0</v>
      </c>
      <c r="N99" s="265">
        <f t="shared" ref="N99:N100" si="97">IF($J$6&gt;4,M99,0)</f>
        <v>0</v>
      </c>
      <c r="O99" s="128">
        <f>IF(U101="A",IF($U$1&lt;&gt;0,IF(T101&gt;($U$1/12*9),($U$1/12*9),T101),T101),0)</f>
        <v>0</v>
      </c>
      <c r="P99" s="143"/>
      <c r="Q99" s="137" t="e">
        <f>((SUM(J97:N97)-SUM(J100:N100))/(CEILING($J$6*9,9)))*9</f>
        <v>#DIV/0!</v>
      </c>
      <c r="R99" s="12"/>
      <c r="S99" s="12"/>
      <c r="T99" s="78"/>
      <c r="V99" s="162"/>
      <c r="W99" s="1"/>
    </row>
    <row r="100" spans="1:23" hidden="1" outlineLevel="1" x14ac:dyDescent="0.25">
      <c r="A100" s="376"/>
      <c r="B100" s="47">
        <f>J100/3*O100</f>
        <v>0</v>
      </c>
      <c r="C100" s="47">
        <f>IF($J$6&gt;1,IF($U$1&lt;&gt;0,IF(O100*(1+$O$6)&lt;=$U$1*0.25,O100*K100/3*(1+$O$6),$U$1*0.25*K100/3),O100*K100/3*(1+$O$6)),0)</f>
        <v>0</v>
      </c>
      <c r="D100" s="47">
        <f>IF($J$6&gt;2,IF($U$1&lt;&gt;0,IF(O100*(1+$O$6)^2&lt;=$U$1*0.25,O100*L100/3*(1+$O$6)^2,$U$1*0.25*L100/3),O100*L100/3*(1+$O$6)^2),0)</f>
        <v>0</v>
      </c>
      <c r="E100" s="47">
        <f>IF($J$6&gt;3,IF($U$1&lt;&gt;0,IF(O100*(1+$O$6)^3&lt;=$U$1*0.25,O100*M100/3*(1+$O$6)^3,$U$1*0.25*M100/3),O100*M100/3*(1+$O$6)^3),0)</f>
        <v>0</v>
      </c>
      <c r="F100" s="47">
        <f>IF($J$6&gt;4,IF($U$1&lt;&gt;0,IF(O100*(1+$O$6)^4&lt;=$U$1*0.25,O100*N100/3*(1+$O$6)^4,$U$1*0.25*N100/3),O100*N100/3*(1+$O$6)^4),0)</f>
        <v>0</v>
      </c>
      <c r="G100" s="46">
        <f>SUM(B100:F100)</f>
        <v>0</v>
      </c>
      <c r="H100" s="14"/>
      <c r="I100" s="89" t="s">
        <v>17</v>
      </c>
      <c r="J100" s="266">
        <v>0</v>
      </c>
      <c r="K100" s="266">
        <f t="shared" si="94"/>
        <v>0</v>
      </c>
      <c r="L100" s="266">
        <f t="shared" si="95"/>
        <v>0</v>
      </c>
      <c r="M100" s="266">
        <f t="shared" si="96"/>
        <v>0</v>
      </c>
      <c r="N100" s="266">
        <f t="shared" si="97"/>
        <v>0</v>
      </c>
      <c r="O100" s="128">
        <f>O99*0.000731*456</f>
        <v>0</v>
      </c>
      <c r="P100" s="138"/>
      <c r="Q100" s="138" t="e">
        <f>((SUM(J97:N97)-SUM(J99:N99)*9)/(CEILING($J$6*3,3)))*3</f>
        <v>#DIV/0!</v>
      </c>
      <c r="R100" s="12"/>
      <c r="S100" s="12"/>
      <c r="V100" s="162"/>
      <c r="W100" s="1"/>
    </row>
    <row r="101" spans="1:23" hidden="1" outlineLevel="1" x14ac:dyDescent="0.25">
      <c r="A101" s="13"/>
      <c r="B101" s="47"/>
      <c r="C101" s="47"/>
      <c r="D101" s="47"/>
      <c r="E101" s="47"/>
      <c r="F101" s="47"/>
      <c r="G101" s="46"/>
      <c r="H101" s="14"/>
      <c r="I101" s="149" t="s">
        <v>111</v>
      </c>
      <c r="J101" s="148">
        <f>SUM(B98:B100)*$V101</f>
        <v>0</v>
      </c>
      <c r="K101" s="148">
        <f t="shared" ref="K101" si="98">SUM(C98:C100)*$V101</f>
        <v>0</v>
      </c>
      <c r="L101" s="148">
        <f t="shared" ref="L101" si="99">SUM(D98:D100)*$V101</f>
        <v>0</v>
      </c>
      <c r="M101" s="148">
        <f t="shared" ref="M101" si="100">SUM(E98:E100)*$V101</f>
        <v>0</v>
      </c>
      <c r="N101" s="148">
        <f t="shared" ref="N101" si="101">SUM(F98:F100)*$V101</f>
        <v>0</v>
      </c>
      <c r="O101" s="147"/>
      <c r="P101" s="138"/>
      <c r="Q101" s="138"/>
      <c r="R101" s="12"/>
      <c r="S101" s="12"/>
      <c r="T101" s="272"/>
      <c r="U101" s="273"/>
      <c r="V101" s="274"/>
      <c r="W101" s="156"/>
    </row>
    <row r="102" spans="1:23" outlineLevel="1" x14ac:dyDescent="0.25">
      <c r="A102" s="13"/>
      <c r="B102" s="47"/>
      <c r="C102" s="47"/>
      <c r="D102" s="48"/>
      <c r="E102" s="48"/>
      <c r="F102" s="48"/>
      <c r="G102" s="46"/>
      <c r="H102" s="14"/>
      <c r="I102" s="34"/>
      <c r="J102" s="5" t="s">
        <v>6</v>
      </c>
      <c r="K102" s="5" t="s">
        <v>5</v>
      </c>
      <c r="L102" s="5" t="s">
        <v>7</v>
      </c>
      <c r="M102" s="5" t="s">
        <v>8</v>
      </c>
      <c r="N102" s="5" t="s">
        <v>9</v>
      </c>
      <c r="O102" s="43" t="s">
        <v>50</v>
      </c>
      <c r="P102" s="135"/>
      <c r="Q102" s="135"/>
      <c r="T102" s="5" t="s">
        <v>50</v>
      </c>
      <c r="U102" s="1"/>
      <c r="V102" s="160"/>
      <c r="W102" s="1"/>
    </row>
    <row r="103" spans="1:23" outlineLevel="1" x14ac:dyDescent="0.25">
      <c r="A103" s="361" t="s">
        <v>169</v>
      </c>
      <c r="B103" s="47"/>
      <c r="C103" s="47"/>
      <c r="D103" s="48"/>
      <c r="E103" s="48"/>
      <c r="F103" s="48"/>
      <c r="G103" s="46"/>
      <c r="H103" s="14"/>
      <c r="I103" s="89" t="s">
        <v>132</v>
      </c>
      <c r="J103" s="117">
        <f>J104/2080*12</f>
        <v>0</v>
      </c>
      <c r="K103" s="117">
        <f t="shared" ref="K103:N103" si="102">K104/2080*12</f>
        <v>0</v>
      </c>
      <c r="L103" s="117">
        <f t="shared" si="102"/>
        <v>0</v>
      </c>
      <c r="M103" s="117">
        <f t="shared" si="102"/>
        <v>0</v>
      </c>
      <c r="N103" s="117">
        <f t="shared" si="102"/>
        <v>0</v>
      </c>
      <c r="O103" s="150">
        <f>IF($U$4&lt;&gt;0,IF(T105&lt;$U$4,$U$4,T105),T105)</f>
        <v>14.5</v>
      </c>
      <c r="P103" s="135"/>
      <c r="Q103" s="135"/>
      <c r="T103" s="78"/>
      <c r="U103" s="1"/>
      <c r="V103" s="160"/>
      <c r="W103" s="1"/>
    </row>
    <row r="104" spans="1:23" outlineLevel="1" x14ac:dyDescent="0.25">
      <c r="A104" s="13" t="str">
        <f>J104&amp;" hours @ $"&amp;O103&amp;"/hour"</f>
        <v>0 hours @ $14.5/hour</v>
      </c>
      <c r="B104" s="47">
        <f>J104*O103</f>
        <v>0</v>
      </c>
      <c r="C104" s="47">
        <f>IF($J$6&gt;1,K104*$O103*(1+$O$6),0)</f>
        <v>0</v>
      </c>
      <c r="D104" s="47">
        <f>IF($J$6&gt;2,L104*$O103*(1+$O$6)^2,0)</f>
        <v>0</v>
      </c>
      <c r="E104" s="47">
        <f>IF($J$6&gt;3,M104*$O103*(1+$O$6)^3,0)</f>
        <v>0</v>
      </c>
      <c r="F104" s="47">
        <f>IF($J$6&gt;4,N104*$O103*(1+$O$6)^4,0)</f>
        <v>0</v>
      </c>
      <c r="G104" s="46">
        <f>SUM(B104:F104)</f>
        <v>0</v>
      </c>
      <c r="H104" s="14"/>
      <c r="I104" s="157" t="s">
        <v>56</v>
      </c>
      <c r="J104" s="276">
        <v>0</v>
      </c>
      <c r="K104" s="276">
        <f t="shared" ref="K104" si="103">IF($J$6&gt;1,J104,0)</f>
        <v>0</v>
      </c>
      <c r="L104" s="276">
        <f t="shared" ref="L104" si="104">IF($J$6&gt;2,K104,0)</f>
        <v>0</v>
      </c>
      <c r="M104" s="276">
        <f t="shared" ref="M104" si="105">IF($J$6&gt;3,L104,0)</f>
        <v>0</v>
      </c>
      <c r="N104" s="276">
        <f t="shared" ref="N104" si="106">IF($J$6&gt;4,M104,0)</f>
        <v>0</v>
      </c>
      <c r="O104" s="129"/>
      <c r="P104" s="135"/>
      <c r="Q104" s="135"/>
      <c r="U104" s="1"/>
      <c r="V104" s="1"/>
      <c r="W104" s="1"/>
    </row>
    <row r="105" spans="1:23" outlineLevel="1" x14ac:dyDescent="0.25">
      <c r="A105" s="13"/>
      <c r="B105" s="47"/>
      <c r="C105" s="47"/>
      <c r="D105" s="47"/>
      <c r="E105" s="47"/>
      <c r="F105" s="47"/>
      <c r="G105" s="46"/>
      <c r="H105" s="14"/>
      <c r="I105" s="149" t="s">
        <v>111</v>
      </c>
      <c r="J105" s="148">
        <f>B104*$V105</f>
        <v>0</v>
      </c>
      <c r="K105" s="148">
        <f t="shared" ref="K105:N105" si="107">C104*$V105</f>
        <v>0</v>
      </c>
      <c r="L105" s="148">
        <f t="shared" si="107"/>
        <v>0</v>
      </c>
      <c r="M105" s="148">
        <f t="shared" si="107"/>
        <v>0</v>
      </c>
      <c r="N105" s="148">
        <f t="shared" si="107"/>
        <v>0</v>
      </c>
      <c r="O105" s="21"/>
      <c r="P105" s="164"/>
      <c r="Q105" s="164"/>
      <c r="R105" s="156"/>
      <c r="S105" s="156"/>
      <c r="T105" s="277"/>
      <c r="U105" s="156"/>
      <c r="V105" s="274">
        <v>0.02</v>
      </c>
      <c r="W105" s="156"/>
    </row>
    <row r="106" spans="1:23" outlineLevel="1" x14ac:dyDescent="0.25">
      <c r="A106" s="13"/>
      <c r="B106" s="47"/>
      <c r="C106" s="47"/>
      <c r="D106" s="47"/>
      <c r="E106" s="47"/>
      <c r="F106" s="47"/>
      <c r="G106" s="46"/>
      <c r="H106" s="14"/>
      <c r="I106" s="34"/>
      <c r="J106" s="5" t="s">
        <v>6</v>
      </c>
      <c r="K106" s="5" t="s">
        <v>5</v>
      </c>
      <c r="L106" s="5" t="s">
        <v>7</v>
      </c>
      <c r="M106" s="5" t="s">
        <v>8</v>
      </c>
      <c r="N106" s="5" t="s">
        <v>9</v>
      </c>
      <c r="O106" s="43" t="s">
        <v>50</v>
      </c>
      <c r="P106" s="135"/>
      <c r="Q106" s="135"/>
      <c r="T106" s="5" t="s">
        <v>50</v>
      </c>
      <c r="U106" s="1"/>
      <c r="V106" s="160"/>
      <c r="W106" s="1"/>
    </row>
    <row r="107" spans="1:23" outlineLevel="1" x14ac:dyDescent="0.25">
      <c r="A107" s="361" t="s">
        <v>169</v>
      </c>
      <c r="B107" s="47"/>
      <c r="C107" s="47"/>
      <c r="D107" s="48"/>
      <c r="E107" s="48"/>
      <c r="F107" s="48"/>
      <c r="G107" s="46"/>
      <c r="H107" s="14"/>
      <c r="I107" s="89" t="s">
        <v>132</v>
      </c>
      <c r="J107" s="117">
        <f>J108/2080*12</f>
        <v>0</v>
      </c>
      <c r="K107" s="117">
        <f t="shared" ref="K107" si="108">K108/2080*12</f>
        <v>0</v>
      </c>
      <c r="L107" s="117">
        <f t="shared" ref="L107" si="109">L108/2080*12</f>
        <v>0</v>
      </c>
      <c r="M107" s="117">
        <f t="shared" ref="M107" si="110">M108/2080*12</f>
        <v>0</v>
      </c>
      <c r="N107" s="117">
        <f t="shared" ref="N107" si="111">N108/2080*12</f>
        <v>0</v>
      </c>
      <c r="O107" s="150">
        <f>IF($U$4&lt;&gt;0,IF(T109&lt;$U$4,$U$4,T109),T109)</f>
        <v>14.5</v>
      </c>
      <c r="P107" s="135"/>
      <c r="Q107" s="135"/>
      <c r="T107" s="78"/>
      <c r="U107" s="1"/>
      <c r="V107" s="160"/>
      <c r="W107" s="1"/>
    </row>
    <row r="108" spans="1:23" outlineLevel="1" x14ac:dyDescent="0.25">
      <c r="A108" s="13" t="str">
        <f>J108&amp;" hours @ $"&amp;O107&amp;"/hour"</f>
        <v>0 hours @ $14.5/hour</v>
      </c>
      <c r="B108" s="47">
        <f>J108*O107</f>
        <v>0</v>
      </c>
      <c r="C108" s="47">
        <f>IF($J$6&gt;1,K108*$O107*(1+$O$6),0)</f>
        <v>0</v>
      </c>
      <c r="D108" s="47">
        <f>IF($J$6&gt;2,L108*$O107*(1+$O$6)^2,0)</f>
        <v>0</v>
      </c>
      <c r="E108" s="47">
        <f>IF($J$6&gt;3,M108*$O107*(1+$O$6)^3,0)</f>
        <v>0</v>
      </c>
      <c r="F108" s="47">
        <f>IF($J$6&gt;4,N108*$O107*(1+$O$6)^4,0)</f>
        <v>0</v>
      </c>
      <c r="G108" s="46">
        <f>SUM(B108:F108)</f>
        <v>0</v>
      </c>
      <c r="H108" s="14"/>
      <c r="I108" s="157" t="s">
        <v>56</v>
      </c>
      <c r="J108" s="276">
        <v>0</v>
      </c>
      <c r="K108" s="276">
        <f t="shared" ref="K108" si="112">IF($J$6&gt;1,J108,0)</f>
        <v>0</v>
      </c>
      <c r="L108" s="276">
        <f t="shared" ref="L108" si="113">IF($J$6&gt;2,K108,0)</f>
        <v>0</v>
      </c>
      <c r="M108" s="276">
        <f t="shared" ref="M108" si="114">IF($J$6&gt;3,L108,0)</f>
        <v>0</v>
      </c>
      <c r="N108" s="276">
        <f t="shared" ref="N108" si="115">IF($J$6&gt;4,M108,0)</f>
        <v>0</v>
      </c>
      <c r="O108" s="129"/>
      <c r="P108" s="135"/>
      <c r="Q108" s="135"/>
      <c r="U108" s="1"/>
      <c r="V108" s="1"/>
      <c r="W108" s="1"/>
    </row>
    <row r="109" spans="1:23" ht="16.5" outlineLevel="1" thickBot="1" x14ac:dyDescent="0.3">
      <c r="A109" s="13"/>
      <c r="B109" s="47"/>
      <c r="C109" s="47"/>
      <c r="D109" s="47"/>
      <c r="E109" s="47"/>
      <c r="F109" s="47"/>
      <c r="G109" s="46"/>
      <c r="H109" s="14"/>
      <c r="I109" s="149" t="s">
        <v>111</v>
      </c>
      <c r="J109" s="148">
        <f>B108*$V109</f>
        <v>0</v>
      </c>
      <c r="K109" s="148">
        <f t="shared" ref="K109" si="116">C108*$V109</f>
        <v>0</v>
      </c>
      <c r="L109" s="148">
        <f t="shared" ref="L109" si="117">D108*$V109</f>
        <v>0</v>
      </c>
      <c r="M109" s="148">
        <f t="shared" ref="M109" si="118">E108*$V109</f>
        <v>0</v>
      </c>
      <c r="N109" s="148">
        <f t="shared" ref="N109" si="119">F108*$V109</f>
        <v>0</v>
      </c>
      <c r="O109" s="21"/>
      <c r="P109" s="164"/>
      <c r="Q109" s="164"/>
      <c r="R109" s="156"/>
      <c r="S109" s="156"/>
      <c r="T109" s="277"/>
      <c r="U109" s="156"/>
      <c r="V109" s="274">
        <v>0.02</v>
      </c>
      <c r="W109" s="156"/>
    </row>
    <row r="110" spans="1:23" hidden="1" outlineLevel="1" x14ac:dyDescent="0.25">
      <c r="A110" s="13"/>
      <c r="B110" s="47"/>
      <c r="C110" s="47"/>
      <c r="D110" s="47"/>
      <c r="E110" s="47"/>
      <c r="F110" s="47"/>
      <c r="G110" s="46"/>
      <c r="H110" s="14"/>
      <c r="I110" s="34"/>
      <c r="J110" s="5" t="s">
        <v>6</v>
      </c>
      <c r="K110" s="5" t="s">
        <v>5</v>
      </c>
      <c r="L110" s="5" t="s">
        <v>7</v>
      </c>
      <c r="M110" s="5" t="s">
        <v>8</v>
      </c>
      <c r="N110" s="5" t="s">
        <v>9</v>
      </c>
      <c r="O110" s="43" t="s">
        <v>50</v>
      </c>
      <c r="P110" s="135"/>
      <c r="Q110" s="135"/>
      <c r="T110" s="5" t="s">
        <v>50</v>
      </c>
      <c r="U110" s="1"/>
      <c r="V110" s="160"/>
      <c r="W110" s="1"/>
    </row>
    <row r="111" spans="1:23" hidden="1" outlineLevel="1" x14ac:dyDescent="0.25">
      <c r="A111" s="361" t="s">
        <v>169</v>
      </c>
      <c r="B111" s="47"/>
      <c r="C111" s="47"/>
      <c r="D111" s="48"/>
      <c r="E111" s="48"/>
      <c r="F111" s="48"/>
      <c r="G111" s="46"/>
      <c r="H111" s="14"/>
      <c r="I111" s="89" t="s">
        <v>132</v>
      </c>
      <c r="J111" s="117">
        <f>J112/2080*12</f>
        <v>0</v>
      </c>
      <c r="K111" s="117">
        <f t="shared" ref="K111" si="120">K112/2080*12</f>
        <v>0</v>
      </c>
      <c r="L111" s="117">
        <f t="shared" ref="L111" si="121">L112/2080*12</f>
        <v>0</v>
      </c>
      <c r="M111" s="117">
        <f t="shared" ref="M111" si="122">M112/2080*12</f>
        <v>0</v>
      </c>
      <c r="N111" s="117">
        <f t="shared" ref="N111" si="123">N112/2080*12</f>
        <v>0</v>
      </c>
      <c r="O111" s="150">
        <f>IF($U$4&lt;&gt;0,IF(T113&lt;$U$4,$U$4,T113),T113)</f>
        <v>14.5</v>
      </c>
      <c r="P111" s="135"/>
      <c r="Q111" s="135"/>
      <c r="T111" s="78"/>
      <c r="U111" s="1"/>
      <c r="V111" s="160"/>
      <c r="W111" s="1"/>
    </row>
    <row r="112" spans="1:23" hidden="1" outlineLevel="1" x14ac:dyDescent="0.25">
      <c r="A112" s="13" t="str">
        <f>J112&amp;" hours @ $"&amp;O111&amp;"/hour"</f>
        <v>0 hours @ $14.5/hour</v>
      </c>
      <c r="B112" s="47">
        <f>J112*O111</f>
        <v>0</v>
      </c>
      <c r="C112" s="47">
        <f>IF($J$6&gt;1,K112*$O111*(1+$O$6),0)</f>
        <v>0</v>
      </c>
      <c r="D112" s="47">
        <f>IF($J$6&gt;2,L112*$O111*(1+$O$6)^2,0)</f>
        <v>0</v>
      </c>
      <c r="E112" s="47">
        <f>IF($J$6&gt;3,M112*$O111*(1+$O$6)^3,0)</f>
        <v>0</v>
      </c>
      <c r="F112" s="47">
        <f>IF($J$6&gt;4,N112*$O111*(1+$O$6)^4,0)</f>
        <v>0</v>
      </c>
      <c r="G112" s="46">
        <f>SUM(B112:F112)</f>
        <v>0</v>
      </c>
      <c r="H112" s="14"/>
      <c r="I112" s="157" t="s">
        <v>56</v>
      </c>
      <c r="J112" s="276">
        <v>0</v>
      </c>
      <c r="K112" s="276">
        <f t="shared" ref="K112" si="124">IF($J$6&gt;1,J112,0)</f>
        <v>0</v>
      </c>
      <c r="L112" s="276">
        <f t="shared" ref="L112" si="125">IF($J$6&gt;2,K112,0)</f>
        <v>0</v>
      </c>
      <c r="M112" s="276">
        <f t="shared" ref="M112" si="126">IF($J$6&gt;3,L112,0)</f>
        <v>0</v>
      </c>
      <c r="N112" s="276">
        <f t="shared" ref="N112" si="127">IF($J$6&gt;4,M112,0)</f>
        <v>0</v>
      </c>
      <c r="O112" s="129"/>
      <c r="P112" s="135"/>
      <c r="Q112" s="135"/>
      <c r="U112" s="1"/>
      <c r="V112" s="1"/>
      <c r="W112" s="1"/>
    </row>
    <row r="113" spans="1:23" ht="16.5" hidden="1" outlineLevel="1" thickBot="1" x14ac:dyDescent="0.3">
      <c r="A113" s="13"/>
      <c r="B113" s="47"/>
      <c r="C113" s="47"/>
      <c r="D113" s="47"/>
      <c r="E113" s="47"/>
      <c r="F113" s="47"/>
      <c r="G113" s="46"/>
      <c r="H113" s="14"/>
      <c r="I113" s="149" t="s">
        <v>111</v>
      </c>
      <c r="J113" s="148">
        <f>B112*$V113</f>
        <v>0</v>
      </c>
      <c r="K113" s="148">
        <f>C112*$V113</f>
        <v>0</v>
      </c>
      <c r="L113" s="148">
        <f>D112*$V113</f>
        <v>0</v>
      </c>
      <c r="M113" s="148">
        <f>E112*$V113</f>
        <v>0</v>
      </c>
      <c r="N113" s="148">
        <f>F112*$V113</f>
        <v>0</v>
      </c>
      <c r="O113" s="21"/>
      <c r="P113" s="164"/>
      <c r="Q113" s="164"/>
      <c r="R113" s="156"/>
      <c r="S113" s="156"/>
      <c r="T113" s="277"/>
      <c r="U113" s="156"/>
      <c r="V113" s="274"/>
      <c r="W113" s="156"/>
    </row>
    <row r="114" spans="1:23" x14ac:dyDescent="0.25">
      <c r="A114" s="348" t="s">
        <v>0</v>
      </c>
      <c r="B114" s="349">
        <f>ROUND(SUM(B9:B112),0)</f>
        <v>0</v>
      </c>
      <c r="C114" s="349">
        <f t="shared" ref="C114:F114" si="128">ROUND(SUM(C9:C112),0)</f>
        <v>0</v>
      </c>
      <c r="D114" s="349">
        <f t="shared" si="128"/>
        <v>0</v>
      </c>
      <c r="E114" s="349">
        <f t="shared" si="128"/>
        <v>0</v>
      </c>
      <c r="F114" s="349">
        <f t="shared" si="128"/>
        <v>0</v>
      </c>
      <c r="G114" s="349">
        <f>SUM(B114:F114)</f>
        <v>0</v>
      </c>
      <c r="H114" s="24"/>
      <c r="I114" s="360"/>
      <c r="J114" s="360"/>
      <c r="K114" s="360"/>
      <c r="L114" s="360"/>
      <c r="M114" s="360"/>
      <c r="N114" s="360"/>
      <c r="O114" s="360"/>
      <c r="P114" s="135"/>
      <c r="Q114" s="135"/>
      <c r="T114" s="78"/>
      <c r="U114" s="1"/>
      <c r="V114" s="1"/>
      <c r="W114" s="1"/>
    </row>
    <row r="115" spans="1:23" x14ac:dyDescent="0.25">
      <c r="B115" s="52"/>
      <c r="C115" s="52"/>
      <c r="D115" s="48"/>
      <c r="E115" s="48"/>
      <c r="F115" s="48"/>
      <c r="G115" s="46"/>
      <c r="P115" s="135"/>
      <c r="Q115" s="135"/>
      <c r="U115" s="1"/>
      <c r="V115" s="1"/>
      <c r="W115" s="1"/>
    </row>
    <row r="116" spans="1:23" x14ac:dyDescent="0.25">
      <c r="A116" s="98" t="s">
        <v>4</v>
      </c>
      <c r="B116" s="52"/>
      <c r="C116" s="52"/>
      <c r="D116" s="48"/>
      <c r="E116" s="48"/>
      <c r="F116" s="48"/>
      <c r="G116" s="46"/>
      <c r="P116" s="135"/>
      <c r="Q116" s="135"/>
      <c r="U116" s="1"/>
      <c r="V116" s="1"/>
      <c r="W116" s="1"/>
    </row>
    <row r="117" spans="1:23" outlineLevel="1" x14ac:dyDescent="0.25">
      <c r="A117" s="87" t="str">
        <f>I117&amp;ROUND(J117*100,2)&amp;"%"</f>
        <v>UA Employees @ 31.9%</v>
      </c>
      <c r="B117" s="86">
        <f>SUM(B9:B67)*$J117</f>
        <v>0</v>
      </c>
      <c r="C117" s="86">
        <f t="shared" ref="C117:F117" si="129">SUM(C9:C67)*$J117</f>
        <v>0</v>
      </c>
      <c r="D117" s="86">
        <f t="shared" si="129"/>
        <v>0</v>
      </c>
      <c r="E117" s="86">
        <f t="shared" si="129"/>
        <v>0</v>
      </c>
      <c r="F117" s="86">
        <f t="shared" si="129"/>
        <v>0</v>
      </c>
      <c r="G117" s="54">
        <f>SUM(B117:F117)</f>
        <v>0</v>
      </c>
      <c r="H117" s="3"/>
      <c r="I117" s="278" t="s">
        <v>146</v>
      </c>
      <c r="J117" s="279">
        <v>0.31900000000000001</v>
      </c>
      <c r="P117" s="135"/>
      <c r="Q117" s="135"/>
      <c r="U117" s="1"/>
      <c r="V117" s="1"/>
      <c r="W117" s="1"/>
    </row>
    <row r="118" spans="1:23" outlineLevel="1" x14ac:dyDescent="0.25">
      <c r="A118" s="87" t="str">
        <f t="shared" ref="A118:A123" si="130">I118&amp;ROUND(J118*100,2)&amp;"%"</f>
        <v>Ancillary Employees @ 17.6%</v>
      </c>
      <c r="B118" s="86">
        <f>SUM(B70:B82)*$J118</f>
        <v>0</v>
      </c>
      <c r="C118" s="86">
        <f t="shared" ref="C118:F118" si="131">SUM(C70:C82)*$J118</f>
        <v>0</v>
      </c>
      <c r="D118" s="86">
        <f t="shared" si="131"/>
        <v>0</v>
      </c>
      <c r="E118" s="86">
        <f t="shared" si="131"/>
        <v>0</v>
      </c>
      <c r="F118" s="86">
        <f t="shared" si="131"/>
        <v>0</v>
      </c>
      <c r="G118" s="54">
        <f>SUM(B118:F118)</f>
        <v>0</v>
      </c>
      <c r="H118" s="3"/>
      <c r="I118" s="278" t="s">
        <v>214</v>
      </c>
      <c r="J118" s="279">
        <v>0.17599999999999999</v>
      </c>
      <c r="P118" s="135"/>
      <c r="Q118" s="135"/>
      <c r="U118" s="1"/>
      <c r="V118" s="1"/>
      <c r="W118" s="1"/>
    </row>
    <row r="119" spans="1:23" outlineLevel="1" x14ac:dyDescent="0.25">
      <c r="A119" s="87" t="str">
        <f t="shared" si="130"/>
        <v>Graduate Assistants @ 13%</v>
      </c>
      <c r="B119" s="86">
        <f>SUM(B86:B100)*$J119</f>
        <v>0</v>
      </c>
      <c r="C119" s="86">
        <f>SUM(C86:C100)*$J119</f>
        <v>0</v>
      </c>
      <c r="D119" s="86">
        <f>SUM(D86:D100)*$J119</f>
        <v>0</v>
      </c>
      <c r="E119" s="86">
        <f>SUM(E86:E100)*$J119</f>
        <v>0</v>
      </c>
      <c r="F119" s="86">
        <f>SUM(F86:F100)*$J119</f>
        <v>0</v>
      </c>
      <c r="G119" s="54">
        <f t="shared" ref="G119:G121" si="132">SUM(B119:F119)</f>
        <v>0</v>
      </c>
      <c r="H119" s="3"/>
      <c r="I119" s="278" t="s">
        <v>148</v>
      </c>
      <c r="J119" s="279">
        <v>0.13</v>
      </c>
      <c r="P119" s="135"/>
      <c r="Q119" s="135"/>
      <c r="U119" s="1"/>
      <c r="V119" s="1"/>
      <c r="W119" s="1"/>
    </row>
    <row r="120" spans="1:23" outlineLevel="1" x14ac:dyDescent="0.25">
      <c r="A120" s="87" t="str">
        <f>I120&amp;ROUND(J120*100,2)&amp;"%"</f>
        <v>Student Employees @ 2%</v>
      </c>
      <c r="B120" s="86">
        <f>SUM(B104:B112)*$J120</f>
        <v>0</v>
      </c>
      <c r="C120" s="86">
        <f>SUM(C104:C112)*$J120</f>
        <v>0</v>
      </c>
      <c r="D120" s="86">
        <f>SUM(D104:D112)*$J120</f>
        <v>0</v>
      </c>
      <c r="E120" s="86">
        <f>SUM(E104:E112)*$J120</f>
        <v>0</v>
      </c>
      <c r="F120" s="86">
        <f>SUM(F104:F112)*$J120</f>
        <v>0</v>
      </c>
      <c r="G120" s="54">
        <f>SUM(B120:F120)</f>
        <v>0</v>
      </c>
      <c r="H120" s="3"/>
      <c r="I120" s="278" t="s">
        <v>149</v>
      </c>
      <c r="J120" s="279">
        <v>0.02</v>
      </c>
      <c r="P120" s="135"/>
      <c r="Q120" s="135"/>
      <c r="U120" s="1"/>
      <c r="V120" s="1"/>
      <c r="W120" s="1"/>
    </row>
    <row r="121" spans="1:23" hidden="1" outlineLevel="1" x14ac:dyDescent="0.25">
      <c r="A121" s="87" t="str">
        <f t="shared" si="130"/>
        <v>Banner Employees @ 16.2%</v>
      </c>
      <c r="B121" s="86">
        <f>SUM(0)*$J121</f>
        <v>0</v>
      </c>
      <c r="C121" s="86">
        <f t="shared" ref="C121:F123" si="133">SUM(0)*$J121</f>
        <v>0</v>
      </c>
      <c r="D121" s="86">
        <f t="shared" si="133"/>
        <v>0</v>
      </c>
      <c r="E121" s="86">
        <f t="shared" si="133"/>
        <v>0</v>
      </c>
      <c r="F121" s="86">
        <f t="shared" si="133"/>
        <v>0</v>
      </c>
      <c r="G121" s="54">
        <f t="shared" si="132"/>
        <v>0</v>
      </c>
      <c r="H121" s="3"/>
      <c r="I121" s="278" t="s">
        <v>150</v>
      </c>
      <c r="J121" s="279">
        <v>0.16200000000000001</v>
      </c>
      <c r="P121" s="135"/>
      <c r="Q121" s="135"/>
      <c r="U121" s="1"/>
      <c r="V121" s="1"/>
      <c r="W121" s="1"/>
    </row>
    <row r="122" spans="1:23" hidden="1" outlineLevel="1" x14ac:dyDescent="0.25">
      <c r="A122" s="87" t="str">
        <f t="shared" si="130"/>
        <v>PCH Employees @ 23.4%</v>
      </c>
      <c r="B122" s="86">
        <f>SUM(0)*$J122</f>
        <v>0</v>
      </c>
      <c r="C122" s="86">
        <f t="shared" si="133"/>
        <v>0</v>
      </c>
      <c r="D122" s="86">
        <f t="shared" si="133"/>
        <v>0</v>
      </c>
      <c r="E122" s="86">
        <f t="shared" si="133"/>
        <v>0</v>
      </c>
      <c r="F122" s="86">
        <f t="shared" si="133"/>
        <v>0</v>
      </c>
      <c r="G122" s="54">
        <f t="shared" ref="G122" si="134">SUM(B122:F122)</f>
        <v>0</v>
      </c>
      <c r="H122" s="3"/>
      <c r="I122" s="278" t="s">
        <v>151</v>
      </c>
      <c r="J122" s="279">
        <v>0.23400000000000001</v>
      </c>
      <c r="P122" s="135"/>
      <c r="Q122" s="135"/>
      <c r="U122" s="1"/>
      <c r="V122" s="1"/>
      <c r="W122" s="1"/>
    </row>
    <row r="123" spans="1:23" hidden="1" outlineLevel="1" x14ac:dyDescent="0.25">
      <c r="A123" s="87" t="str">
        <f t="shared" si="130"/>
        <v>Dignity/St. Joseph's @ 23.6%</v>
      </c>
      <c r="B123" s="86">
        <f>SUM(0)*$J123</f>
        <v>0</v>
      </c>
      <c r="C123" s="86">
        <f t="shared" si="133"/>
        <v>0</v>
      </c>
      <c r="D123" s="86">
        <f t="shared" si="133"/>
        <v>0</v>
      </c>
      <c r="E123" s="86">
        <f t="shared" si="133"/>
        <v>0</v>
      </c>
      <c r="F123" s="86">
        <f t="shared" si="133"/>
        <v>0</v>
      </c>
      <c r="G123" s="54">
        <f t="shared" ref="G123" si="135">SUM(B123:F123)</f>
        <v>0</v>
      </c>
      <c r="H123" s="3"/>
      <c r="I123" s="278" t="s">
        <v>182</v>
      </c>
      <c r="J123" s="279">
        <v>0.23599999999999999</v>
      </c>
      <c r="P123" s="135"/>
      <c r="Q123" s="135"/>
      <c r="U123" s="1"/>
      <c r="V123" s="1"/>
      <c r="W123" s="1"/>
    </row>
    <row r="124" spans="1:23" x14ac:dyDescent="0.25">
      <c r="A124" s="96" t="s">
        <v>1</v>
      </c>
      <c r="B124" s="55">
        <f>ROUND(SUM(B117:B123),0)</f>
        <v>0</v>
      </c>
      <c r="C124" s="55">
        <f>ROUND(SUM(C117:C123),0)</f>
        <v>0</v>
      </c>
      <c r="D124" s="55">
        <f>ROUND(SUM(D117:D123),0)</f>
        <v>0</v>
      </c>
      <c r="E124" s="55">
        <f>ROUND(SUM(E117:E123),0)</f>
        <v>0</v>
      </c>
      <c r="F124" s="55">
        <f>ROUND(SUM(F117:F123),0)</f>
        <v>0</v>
      </c>
      <c r="G124" s="56">
        <f t="shared" ref="G124" si="136">SUM(B124:F124)</f>
        <v>0</v>
      </c>
      <c r="H124" s="3"/>
      <c r="P124" s="135"/>
      <c r="Q124" s="135"/>
      <c r="U124" s="1"/>
      <c r="V124" s="1"/>
      <c r="W124" s="1"/>
    </row>
    <row r="125" spans="1:23" ht="16.5" thickBot="1" x14ac:dyDescent="0.3">
      <c r="B125" s="48"/>
      <c r="C125" s="48"/>
      <c r="D125" s="48"/>
      <c r="E125" s="48"/>
      <c r="F125" s="48"/>
      <c r="G125" s="46"/>
      <c r="P125" s="135"/>
      <c r="Q125" s="135"/>
      <c r="U125" s="1"/>
      <c r="V125" s="1"/>
      <c r="W125" s="1"/>
    </row>
    <row r="126" spans="1:23" x14ac:dyDescent="0.25">
      <c r="A126" s="350" t="s">
        <v>95</v>
      </c>
      <c r="B126" s="351">
        <f>B114+B124</f>
        <v>0</v>
      </c>
      <c r="C126" s="351">
        <f>C114+C124</f>
        <v>0</v>
      </c>
      <c r="D126" s="351">
        <f>D114+D124</f>
        <v>0</v>
      </c>
      <c r="E126" s="351">
        <f>E114+E124</f>
        <v>0</v>
      </c>
      <c r="F126" s="351">
        <f>F114+F124</f>
        <v>0</v>
      </c>
      <c r="G126" s="352">
        <f>SUM(B126:F126)</f>
        <v>0</v>
      </c>
      <c r="H126" s="3"/>
      <c r="P126" s="135"/>
      <c r="Q126" s="135"/>
      <c r="U126" s="1"/>
      <c r="V126" s="1"/>
      <c r="W126" s="1"/>
    </row>
    <row r="127" spans="1:23" x14ac:dyDescent="0.25">
      <c r="A127" s="2"/>
      <c r="B127" s="59"/>
      <c r="C127" s="59"/>
      <c r="D127" s="59"/>
      <c r="E127" s="59"/>
      <c r="F127" s="59"/>
      <c r="G127" s="60"/>
      <c r="H127" s="25"/>
      <c r="P127" s="135"/>
      <c r="Q127" s="135"/>
      <c r="U127" s="1"/>
      <c r="V127" s="1"/>
      <c r="W127" s="1"/>
    </row>
    <row r="128" spans="1:23" x14ac:dyDescent="0.25">
      <c r="A128" s="95" t="s">
        <v>39</v>
      </c>
      <c r="B128" s="48"/>
      <c r="C128" s="48"/>
      <c r="D128" s="48"/>
      <c r="E128" s="48"/>
      <c r="F128" s="48"/>
      <c r="G128" s="46"/>
      <c r="P128" s="135"/>
      <c r="Q128" s="135"/>
      <c r="U128" s="1"/>
      <c r="V128" s="1"/>
      <c r="W128" s="1"/>
    </row>
    <row r="129" spans="1:23" outlineLevel="1" x14ac:dyDescent="0.25">
      <c r="A129" s="280" t="s">
        <v>41</v>
      </c>
      <c r="B129" s="281">
        <v>0</v>
      </c>
      <c r="C129" s="281">
        <v>0</v>
      </c>
      <c r="D129" s="281">
        <v>0</v>
      </c>
      <c r="E129" s="281">
        <v>0</v>
      </c>
      <c r="F129" s="281">
        <v>0</v>
      </c>
      <c r="G129" s="46">
        <f>SUM(B129:F129)</f>
        <v>0</v>
      </c>
      <c r="H129" s="14"/>
      <c r="P129" s="135"/>
      <c r="Q129" s="135"/>
      <c r="U129" s="1"/>
      <c r="V129" s="1"/>
      <c r="W129" s="1"/>
    </row>
    <row r="130" spans="1:23" ht="16.5" outlineLevel="1" thickBot="1" x14ac:dyDescent="0.3">
      <c r="A130" s="280" t="s">
        <v>42</v>
      </c>
      <c r="B130" s="281">
        <v>0</v>
      </c>
      <c r="C130" s="281">
        <v>0</v>
      </c>
      <c r="D130" s="281">
        <v>0</v>
      </c>
      <c r="E130" s="281">
        <v>0</v>
      </c>
      <c r="F130" s="281">
        <v>0</v>
      </c>
      <c r="G130" s="46">
        <f>SUM(B130:F130)</f>
        <v>0</v>
      </c>
      <c r="H130" s="14"/>
      <c r="P130" s="135"/>
      <c r="Q130" s="135"/>
      <c r="U130" s="1"/>
      <c r="V130" s="1"/>
      <c r="W130" s="1"/>
    </row>
    <row r="131" spans="1:23" ht="16.5" hidden="1" outlineLevel="1" thickBot="1" x14ac:dyDescent="0.3">
      <c r="A131" s="280" t="s">
        <v>43</v>
      </c>
      <c r="B131" s="281">
        <v>0</v>
      </c>
      <c r="C131" s="281">
        <v>0</v>
      </c>
      <c r="D131" s="281">
        <v>0</v>
      </c>
      <c r="E131" s="281">
        <v>0</v>
      </c>
      <c r="F131" s="281">
        <v>0</v>
      </c>
      <c r="G131" s="46">
        <f>SUM(B131:F131)</f>
        <v>0</v>
      </c>
      <c r="H131" s="14"/>
      <c r="P131" s="135"/>
      <c r="Q131" s="135"/>
      <c r="U131" s="1"/>
      <c r="V131" s="1"/>
      <c r="W131" s="1"/>
    </row>
    <row r="132" spans="1:23" x14ac:dyDescent="0.25">
      <c r="A132" s="348" t="s">
        <v>40</v>
      </c>
      <c r="B132" s="349">
        <f>ROUND(SUM(B129:B131),0)</f>
        <v>0</v>
      </c>
      <c r="C132" s="349">
        <f t="shared" ref="C132:F132" si="137">ROUND(SUM(C129:C131),0)</f>
        <v>0</v>
      </c>
      <c r="D132" s="349">
        <f t="shared" si="137"/>
        <v>0</v>
      </c>
      <c r="E132" s="349">
        <f t="shared" si="137"/>
        <v>0</v>
      </c>
      <c r="F132" s="349">
        <f t="shared" si="137"/>
        <v>0</v>
      </c>
      <c r="G132" s="349">
        <f>SUM(B132:F132)</f>
        <v>0</v>
      </c>
      <c r="H132" s="24"/>
      <c r="P132" s="135"/>
      <c r="Q132" s="135"/>
      <c r="U132" s="1"/>
      <c r="V132" s="1"/>
      <c r="W132" s="1"/>
    </row>
    <row r="133" spans="1:23" x14ac:dyDescent="0.25">
      <c r="B133" s="52"/>
      <c r="C133" s="52"/>
      <c r="D133" s="48"/>
      <c r="E133" s="48"/>
      <c r="F133" s="48"/>
      <c r="G133" s="46"/>
      <c r="P133" s="135"/>
      <c r="Q133" s="135"/>
      <c r="U133" s="1"/>
      <c r="V133" s="1"/>
      <c r="W133" s="1"/>
    </row>
    <row r="134" spans="1:23" x14ac:dyDescent="0.25">
      <c r="A134" s="98" t="s">
        <v>11</v>
      </c>
      <c r="B134" s="60"/>
      <c r="C134" s="60"/>
      <c r="D134" s="60"/>
      <c r="E134" s="60"/>
      <c r="F134" s="60"/>
      <c r="G134" s="60"/>
      <c r="H134" s="25"/>
      <c r="P134" s="135"/>
      <c r="Q134" s="135"/>
      <c r="U134" s="1"/>
      <c r="V134" s="1"/>
      <c r="W134" s="1"/>
    </row>
    <row r="135" spans="1:23" outlineLevel="1" x14ac:dyDescent="0.25">
      <c r="A135" s="13" t="s">
        <v>159</v>
      </c>
      <c r="B135" s="61">
        <f>Travel!K10</f>
        <v>0</v>
      </c>
      <c r="C135" s="61">
        <f>Travel!K20</f>
        <v>0</v>
      </c>
      <c r="D135" s="61">
        <f>Travel!K30</f>
        <v>0</v>
      </c>
      <c r="E135" s="61">
        <f>Travel!K40</f>
        <v>0</v>
      </c>
      <c r="F135" s="61">
        <f>Travel!K50</f>
        <v>0</v>
      </c>
      <c r="G135" s="60">
        <f>SUM(B135:F135)</f>
        <v>0</v>
      </c>
      <c r="H135" s="25"/>
      <c r="P135" s="135"/>
      <c r="Q135" s="135"/>
      <c r="U135" s="1"/>
      <c r="V135" s="1"/>
      <c r="W135" s="1"/>
    </row>
    <row r="136" spans="1:23" ht="16.5" outlineLevel="1" thickBot="1" x14ac:dyDescent="0.3">
      <c r="A136" s="13" t="s">
        <v>160</v>
      </c>
      <c r="B136" s="61">
        <f>Travel!X10</f>
        <v>0</v>
      </c>
      <c r="C136" s="61">
        <f>Travel!X20</f>
        <v>0</v>
      </c>
      <c r="D136" s="61">
        <f>Travel!X30</f>
        <v>0</v>
      </c>
      <c r="E136" s="61">
        <f>Travel!X40</f>
        <v>0</v>
      </c>
      <c r="F136" s="61">
        <f>Travel!X50</f>
        <v>0</v>
      </c>
      <c r="G136" s="60">
        <f>SUM(B136:F136)</f>
        <v>0</v>
      </c>
      <c r="H136" s="25"/>
      <c r="P136" s="135"/>
      <c r="Q136" s="135"/>
      <c r="U136" s="1"/>
      <c r="V136" s="1"/>
      <c r="W136" s="1"/>
    </row>
    <row r="137" spans="1:23" x14ac:dyDescent="0.25">
      <c r="A137" s="348" t="s">
        <v>12</v>
      </c>
      <c r="B137" s="355">
        <f>ROUND(SUM(B135:B136),0)</f>
        <v>0</v>
      </c>
      <c r="C137" s="355">
        <f t="shared" ref="C137:F137" si="138">ROUND(SUM(C135:C136),0)</f>
        <v>0</v>
      </c>
      <c r="D137" s="355">
        <f t="shared" si="138"/>
        <v>0</v>
      </c>
      <c r="E137" s="355">
        <f t="shared" si="138"/>
        <v>0</v>
      </c>
      <c r="F137" s="355">
        <f t="shared" si="138"/>
        <v>0</v>
      </c>
      <c r="G137" s="349">
        <f>SUM(B137:F137)</f>
        <v>0</v>
      </c>
      <c r="H137" s="24"/>
      <c r="P137" s="135"/>
      <c r="Q137" s="135"/>
      <c r="U137" s="1"/>
      <c r="V137" s="1"/>
      <c r="W137" s="1"/>
    </row>
    <row r="138" spans="1:23" x14ac:dyDescent="0.25">
      <c r="B138" s="48"/>
      <c r="C138" s="48"/>
      <c r="D138" s="48"/>
      <c r="E138" s="48"/>
      <c r="F138" s="48"/>
      <c r="G138" s="46"/>
      <c r="P138" s="135"/>
      <c r="Q138" s="135"/>
      <c r="U138" s="1"/>
      <c r="V138" s="1"/>
      <c r="W138" s="1"/>
    </row>
    <row r="139" spans="1:23" hidden="1" x14ac:dyDescent="0.25">
      <c r="A139" s="2" t="s">
        <v>44</v>
      </c>
      <c r="B139" s="48"/>
      <c r="C139" s="48"/>
      <c r="D139" s="48"/>
      <c r="E139" s="48"/>
      <c r="F139" s="48"/>
      <c r="G139" s="46"/>
      <c r="P139" s="135"/>
      <c r="Q139" s="135"/>
      <c r="U139" s="1"/>
      <c r="V139" s="1"/>
      <c r="W139" s="1"/>
    </row>
    <row r="140" spans="1:23" ht="16.5" hidden="1" outlineLevel="1" thickBot="1" x14ac:dyDescent="0.3">
      <c r="A140" s="35" t="s">
        <v>165</v>
      </c>
      <c r="B140" s="64">
        <f>'Participant Support'!E15</f>
        <v>0</v>
      </c>
      <c r="C140" s="64">
        <f>'Participant Support'!E30</f>
        <v>0</v>
      </c>
      <c r="D140" s="64">
        <f>'Participant Support'!E45</f>
        <v>0</v>
      </c>
      <c r="E140" s="64">
        <f>'Participant Support'!E60</f>
        <v>0</v>
      </c>
      <c r="F140" s="64">
        <f>'Participant Support'!E75</f>
        <v>0</v>
      </c>
      <c r="G140" s="54">
        <f>SUM(B140:F140)</f>
        <v>0</v>
      </c>
      <c r="P140" s="135"/>
      <c r="Q140" s="135"/>
      <c r="U140" s="1"/>
      <c r="V140" s="1"/>
      <c r="W140" s="1"/>
    </row>
    <row r="141" spans="1:23" hidden="1" collapsed="1" x14ac:dyDescent="0.25">
      <c r="A141" s="348" t="s">
        <v>161</v>
      </c>
      <c r="B141" s="355">
        <f>ROUND(SUM(B140),0)</f>
        <v>0</v>
      </c>
      <c r="C141" s="355">
        <f t="shared" ref="C141:F141" si="139">ROUND(SUM(C140),0)</f>
        <v>0</v>
      </c>
      <c r="D141" s="355">
        <f t="shared" si="139"/>
        <v>0</v>
      </c>
      <c r="E141" s="355">
        <f t="shared" si="139"/>
        <v>0</v>
      </c>
      <c r="F141" s="355">
        <f t="shared" si="139"/>
        <v>0</v>
      </c>
      <c r="G141" s="349">
        <f>SUM(B141:F141)</f>
        <v>0</v>
      </c>
      <c r="H141" s="24"/>
      <c r="P141" s="135"/>
      <c r="Q141" s="135"/>
      <c r="U141" s="1"/>
      <c r="V141" s="1"/>
      <c r="W141" s="1"/>
    </row>
    <row r="142" spans="1:23" x14ac:dyDescent="0.25">
      <c r="B142" s="48"/>
      <c r="C142" s="48"/>
      <c r="D142" s="48"/>
      <c r="E142" s="48"/>
      <c r="F142" s="48"/>
      <c r="G142" s="46"/>
      <c r="P142" s="135"/>
      <c r="Q142" s="135"/>
      <c r="U142" s="1"/>
      <c r="V142" s="1"/>
      <c r="W142" s="1"/>
    </row>
    <row r="143" spans="1:23" x14ac:dyDescent="0.25">
      <c r="A143" s="100" t="s">
        <v>33</v>
      </c>
      <c r="B143" s="59"/>
      <c r="C143" s="59"/>
      <c r="D143" s="48"/>
      <c r="E143" s="48"/>
      <c r="F143" s="48"/>
      <c r="G143" s="46"/>
      <c r="P143" s="135"/>
      <c r="Q143" s="135"/>
      <c r="U143" s="1"/>
      <c r="V143" s="1"/>
      <c r="W143" s="1"/>
    </row>
    <row r="144" spans="1:23" outlineLevel="1" x14ac:dyDescent="0.25">
      <c r="A144" s="35" t="s">
        <v>31</v>
      </c>
      <c r="B144" s="64">
        <f>SUM(J84,J90,J96)</f>
        <v>0</v>
      </c>
      <c r="C144" s="64">
        <f>SUM(K84,K90,K96)</f>
        <v>0</v>
      </c>
      <c r="D144" s="64">
        <f>SUM(L84,L90,L96)</f>
        <v>0</v>
      </c>
      <c r="E144" s="64">
        <f>SUM(M84,M90,M96)</f>
        <v>0</v>
      </c>
      <c r="F144" s="64">
        <f>SUM(N84,N90,N96)</f>
        <v>0</v>
      </c>
      <c r="G144" s="54">
        <f>SUM(B144:F144)</f>
        <v>0</v>
      </c>
      <c r="P144" s="135"/>
      <c r="Q144" s="135"/>
      <c r="U144" s="1"/>
      <c r="V144" s="1"/>
      <c r="W144" s="1"/>
    </row>
    <row r="145" spans="1:23" outlineLevel="1" x14ac:dyDescent="0.25">
      <c r="A145" s="35" t="s">
        <v>37</v>
      </c>
      <c r="B145" s="63">
        <f>'Other Costs'!E15</f>
        <v>0</v>
      </c>
      <c r="C145" s="63">
        <f>'Other Costs'!E30</f>
        <v>0</v>
      </c>
      <c r="D145" s="63">
        <f>'Other Costs'!E45</f>
        <v>0</v>
      </c>
      <c r="E145" s="63">
        <f>'Other Costs'!E60</f>
        <v>0</v>
      </c>
      <c r="F145" s="63">
        <f>'Other Costs'!E75</f>
        <v>0</v>
      </c>
      <c r="G145" s="54">
        <f t="shared" ref="G145" si="140">SUM(B145:F145)</f>
        <v>0</v>
      </c>
      <c r="H145" s="3"/>
      <c r="P145" s="135"/>
      <c r="Q145" s="135"/>
      <c r="U145" s="1"/>
      <c r="V145" s="1"/>
      <c r="W145" s="1"/>
    </row>
    <row r="146" spans="1:23" outlineLevel="1" x14ac:dyDescent="0.25">
      <c r="A146" s="35"/>
      <c r="B146" s="64"/>
      <c r="C146" s="64"/>
      <c r="D146" s="64"/>
      <c r="E146" s="64"/>
      <c r="F146" s="64"/>
      <c r="G146" s="54"/>
      <c r="P146" s="135"/>
      <c r="Q146" s="135"/>
      <c r="U146" s="1"/>
      <c r="V146" s="1"/>
      <c r="W146" s="1"/>
    </row>
    <row r="147" spans="1:23" outlineLevel="1" x14ac:dyDescent="0.25">
      <c r="A147" s="35" t="str">
        <f>"Subaward #1 - Direct Costs ("&amp;'Subaward 1'!A4&amp;")"</f>
        <v>Subaward #1 - Direct Costs (Institution/Lead PI)</v>
      </c>
      <c r="B147" s="48">
        <f>'Subaward 1'!B$118</f>
        <v>0</v>
      </c>
      <c r="C147" s="48">
        <f>'Subaward 1'!C$118</f>
        <v>0</v>
      </c>
      <c r="D147" s="48">
        <f>'Subaward 1'!D$118</f>
        <v>0</v>
      </c>
      <c r="E147" s="48">
        <f>'Subaward 1'!E$118</f>
        <v>0</v>
      </c>
      <c r="F147" s="48">
        <f>'Subaward 1'!F$118</f>
        <v>0</v>
      </c>
      <c r="G147" s="46">
        <f>SUM(B147:F147)</f>
        <v>0</v>
      </c>
      <c r="H147" s="14"/>
      <c r="J147" s="7" t="s">
        <v>6</v>
      </c>
      <c r="K147" s="7" t="s">
        <v>5</v>
      </c>
      <c r="L147" s="7" t="s">
        <v>7</v>
      </c>
      <c r="M147" s="7" t="s">
        <v>8</v>
      </c>
      <c r="N147" s="7" t="s">
        <v>9</v>
      </c>
      <c r="O147" s="7" t="s">
        <v>10</v>
      </c>
      <c r="P147" s="135"/>
      <c r="Q147" s="135"/>
      <c r="U147" s="1"/>
      <c r="V147" s="1"/>
      <c r="W147" s="1"/>
    </row>
    <row r="148" spans="1:23" outlineLevel="1" x14ac:dyDescent="0.25">
      <c r="A148" s="35" t="str">
        <f>"Subaward #1 - Indirect Costs ("&amp;'Subaward 1'!A4&amp;")"</f>
        <v>Subaward #1 - Indirect Costs (Institution/Lead PI)</v>
      </c>
      <c r="B148" s="48">
        <f>'Subaward 1'!B$127</f>
        <v>0</v>
      </c>
      <c r="C148" s="48">
        <f>'Subaward 1'!C$127</f>
        <v>0</v>
      </c>
      <c r="D148" s="48">
        <f>'Subaward 1'!D$127</f>
        <v>0</v>
      </c>
      <c r="E148" s="48">
        <f>'Subaward 1'!E$127</f>
        <v>0</v>
      </c>
      <c r="F148" s="48">
        <f>'Subaward 1'!F$127</f>
        <v>0</v>
      </c>
      <c r="G148" s="46">
        <f t="shared" ref="G148:G152" si="141">SUM(B148:F148)</f>
        <v>0</v>
      </c>
      <c r="H148" s="14"/>
      <c r="I148" s="127" t="s">
        <v>162</v>
      </c>
      <c r="J148" s="48">
        <f>B147+B148</f>
        <v>0</v>
      </c>
      <c r="K148" s="48">
        <f>C147+C148</f>
        <v>0</v>
      </c>
      <c r="L148" s="48">
        <f>D147+D148</f>
        <v>0</v>
      </c>
      <c r="M148" s="48">
        <f>E147+E148</f>
        <v>0</v>
      </c>
      <c r="N148" s="48">
        <f>F147+F148</f>
        <v>0</v>
      </c>
      <c r="O148" s="46">
        <f>SUM(J148:N148)</f>
        <v>0</v>
      </c>
      <c r="P148" s="135"/>
      <c r="Q148" s="135"/>
      <c r="U148" s="1"/>
      <c r="V148" s="1"/>
      <c r="W148" s="1"/>
    </row>
    <row r="149" spans="1:23" outlineLevel="1" x14ac:dyDescent="0.25">
      <c r="A149" s="35" t="str">
        <f>"Subaward #2 - Direct Costs ("&amp;'Subaward 2'!A4&amp;")"</f>
        <v>Subaward #2 - Direct Costs (Institution/Lead PI)</v>
      </c>
      <c r="B149" s="48">
        <f>'Subaward 2'!B$118</f>
        <v>0</v>
      </c>
      <c r="C149" s="48">
        <f>'Subaward 2'!C$118</f>
        <v>0</v>
      </c>
      <c r="D149" s="48">
        <f>'Subaward 2'!D$118</f>
        <v>0</v>
      </c>
      <c r="E149" s="48">
        <f>'Subaward 2'!E$118</f>
        <v>0</v>
      </c>
      <c r="F149" s="48">
        <f>'Subaward 2'!F$118</f>
        <v>0</v>
      </c>
      <c r="G149" s="46">
        <f t="shared" si="141"/>
        <v>0</v>
      </c>
      <c r="H149" s="14"/>
      <c r="I149" s="127"/>
      <c r="O149" s="2"/>
      <c r="P149" s="135"/>
      <c r="Q149" s="135"/>
      <c r="U149" s="1"/>
      <c r="V149" s="1"/>
      <c r="W149" s="1"/>
    </row>
    <row r="150" spans="1:23" outlineLevel="1" x14ac:dyDescent="0.25">
      <c r="A150" s="35" t="str">
        <f>"Subaward #2 - Indirect Costs ("&amp;'Subaward 2'!A4&amp;")"</f>
        <v>Subaward #2 - Indirect Costs (Institution/Lead PI)</v>
      </c>
      <c r="B150" s="48">
        <f>'Subaward 2'!B$127</f>
        <v>0</v>
      </c>
      <c r="C150" s="48">
        <f>'Subaward 2'!C$127</f>
        <v>0</v>
      </c>
      <c r="D150" s="48">
        <f>'Subaward 2'!D$127</f>
        <v>0</v>
      </c>
      <c r="E150" s="48">
        <f>'Subaward 2'!E$127</f>
        <v>0</v>
      </c>
      <c r="F150" s="48">
        <f>'Subaward 2'!F$127</f>
        <v>0</v>
      </c>
      <c r="G150" s="46">
        <f t="shared" si="141"/>
        <v>0</v>
      </c>
      <c r="H150" s="14"/>
      <c r="I150" s="127" t="s">
        <v>163</v>
      </c>
      <c r="J150" s="48">
        <f>B149+B150</f>
        <v>0</v>
      </c>
      <c r="K150" s="48">
        <f>C149+C150</f>
        <v>0</v>
      </c>
      <c r="L150" s="48">
        <f>D149+D150</f>
        <v>0</v>
      </c>
      <c r="M150" s="48">
        <f>E149+E150</f>
        <v>0</v>
      </c>
      <c r="N150" s="48">
        <f>F149+F150</f>
        <v>0</v>
      </c>
      <c r="O150" s="46">
        <f>SUM(J150:N150)</f>
        <v>0</v>
      </c>
      <c r="P150" s="135"/>
      <c r="Q150" s="135"/>
      <c r="U150" s="1"/>
      <c r="V150" s="1"/>
      <c r="W150" s="1"/>
    </row>
    <row r="151" spans="1:23" hidden="1" outlineLevel="1" x14ac:dyDescent="0.25">
      <c r="A151" s="35" t="str">
        <f>"Subaward #3 - Direct Costs ("&amp;'Subaward 3'!A4&amp;")"</f>
        <v>Subaward #3 - Direct Costs (Institution/Lead PI)</v>
      </c>
      <c r="B151" s="48">
        <f>'Subaward 3'!B$118</f>
        <v>0</v>
      </c>
      <c r="C151" s="48">
        <f>'Subaward 3'!C$118</f>
        <v>0</v>
      </c>
      <c r="D151" s="48">
        <f>'Subaward 3'!D$118</f>
        <v>0</v>
      </c>
      <c r="E151" s="48">
        <f>'Subaward 3'!E$118</f>
        <v>0</v>
      </c>
      <c r="F151" s="48">
        <f>'Subaward 3'!F$118</f>
        <v>0</v>
      </c>
      <c r="G151" s="46">
        <f t="shared" si="141"/>
        <v>0</v>
      </c>
      <c r="H151" s="14"/>
      <c r="I151" s="127"/>
      <c r="O151" s="2"/>
      <c r="P151" s="135"/>
      <c r="Q151" s="135"/>
      <c r="U151" s="1"/>
      <c r="V151" s="1"/>
      <c r="W151" s="1"/>
    </row>
    <row r="152" spans="1:23" hidden="1" outlineLevel="1" x14ac:dyDescent="0.25">
      <c r="A152" s="35" t="str">
        <f>"Subaward #3 - Indirect Costs ("&amp;'Subaward 3'!A4&amp;")"</f>
        <v>Subaward #3 - Indirect Costs (Institution/Lead PI)</v>
      </c>
      <c r="B152" s="48">
        <f>'Subaward 3'!B$127</f>
        <v>0</v>
      </c>
      <c r="C152" s="48">
        <f>'Subaward 3'!C$127</f>
        <v>0</v>
      </c>
      <c r="D152" s="48">
        <f>'Subaward 3'!D$127</f>
        <v>0</v>
      </c>
      <c r="E152" s="48">
        <f>'Subaward 3'!E$127</f>
        <v>0</v>
      </c>
      <c r="F152" s="48">
        <f>'Subaward 3'!F$127</f>
        <v>0</v>
      </c>
      <c r="G152" s="46">
        <f t="shared" si="141"/>
        <v>0</v>
      </c>
      <c r="H152" s="14"/>
      <c r="I152" s="127" t="s">
        <v>164</v>
      </c>
      <c r="J152" s="48">
        <f>B151+B152</f>
        <v>0</v>
      </c>
      <c r="K152" s="48">
        <f>C151+C152</f>
        <v>0</v>
      </c>
      <c r="L152" s="48">
        <f>D151+D152</f>
        <v>0</v>
      </c>
      <c r="M152" s="48">
        <f>E151+E152</f>
        <v>0</v>
      </c>
      <c r="N152" s="48">
        <f>F151+F152</f>
        <v>0</v>
      </c>
      <c r="O152" s="46">
        <f>SUM(J152:N152)</f>
        <v>0</v>
      </c>
      <c r="P152" s="135"/>
      <c r="Q152" s="135"/>
      <c r="U152" s="1"/>
      <c r="V152" s="1"/>
      <c r="W152" s="1"/>
    </row>
    <row r="153" spans="1:23" hidden="1" outlineLevel="1" x14ac:dyDescent="0.25">
      <c r="A153" s="35" t="str">
        <f>"Subaward #4 - Direct Costs ("&amp;'Subaward 4'!A4&amp;")"</f>
        <v>Subaward #4 - Direct Costs (Institution/Lead PI)</v>
      </c>
      <c r="B153" s="48">
        <f>'Subaward 4'!B$118</f>
        <v>0</v>
      </c>
      <c r="C153" s="48">
        <f>'Subaward 4'!C$118</f>
        <v>0</v>
      </c>
      <c r="D153" s="48">
        <f>'Subaward 4'!D$118</f>
        <v>0</v>
      </c>
      <c r="E153" s="48">
        <f>'Subaward 4'!E$118</f>
        <v>0</v>
      </c>
      <c r="F153" s="48">
        <f>'Subaward 4'!F$118</f>
        <v>0</v>
      </c>
      <c r="G153" s="46">
        <f t="shared" ref="G153:G156" si="142">SUM(B153:F153)</f>
        <v>0</v>
      </c>
      <c r="H153" s="14"/>
      <c r="I153" s="127"/>
      <c r="O153" s="2"/>
      <c r="P153" s="135"/>
      <c r="Q153" s="135"/>
      <c r="U153" s="1"/>
      <c r="V153" s="1"/>
      <c r="W153" s="1"/>
    </row>
    <row r="154" spans="1:23" hidden="1" outlineLevel="1" x14ac:dyDescent="0.25">
      <c r="A154" s="35" t="str">
        <f>"Subaward #4 - Indirect Costs ("&amp;'Subaward 4'!A4&amp;")"</f>
        <v>Subaward #4 - Indirect Costs (Institution/Lead PI)</v>
      </c>
      <c r="B154" s="48">
        <f>'Subaward 4'!B$127</f>
        <v>0</v>
      </c>
      <c r="C154" s="48">
        <f>'Subaward 4'!C$127</f>
        <v>0</v>
      </c>
      <c r="D154" s="48">
        <f>'Subaward 4'!D$127</f>
        <v>0</v>
      </c>
      <c r="E154" s="48">
        <f>'Subaward 4'!E$127</f>
        <v>0</v>
      </c>
      <c r="F154" s="48">
        <f>'Subaward 4'!F$127</f>
        <v>0</v>
      </c>
      <c r="G154" s="46">
        <f t="shared" si="142"/>
        <v>0</v>
      </c>
      <c r="H154" s="14"/>
      <c r="I154" s="127" t="s">
        <v>170</v>
      </c>
      <c r="J154" s="48">
        <f>B153+B154</f>
        <v>0</v>
      </c>
      <c r="K154" s="48">
        <f>C153+C154</f>
        <v>0</v>
      </c>
      <c r="L154" s="48">
        <f>D153+D154</f>
        <v>0</v>
      </c>
      <c r="M154" s="48">
        <f>E153+E154</f>
        <v>0</v>
      </c>
      <c r="N154" s="48">
        <f>F153+F154</f>
        <v>0</v>
      </c>
      <c r="O154" s="46">
        <f>SUM(J154:N154)</f>
        <v>0</v>
      </c>
      <c r="P154" s="135"/>
      <c r="Q154" s="135"/>
      <c r="U154" s="1"/>
      <c r="V154" s="1"/>
      <c r="W154" s="1"/>
    </row>
    <row r="155" spans="1:23" hidden="1" outlineLevel="1" x14ac:dyDescent="0.25">
      <c r="A155" s="35" t="str">
        <f>"Subaward #5 - Direct Costs ("&amp;'Subaward 5'!A4&amp;")"</f>
        <v>Subaward #5 - Direct Costs (Institution/Lead PI)</v>
      </c>
      <c r="B155" s="48">
        <f>'Subaward 5'!B$118</f>
        <v>0</v>
      </c>
      <c r="C155" s="48">
        <f>'Subaward 5'!C$118</f>
        <v>0</v>
      </c>
      <c r="D155" s="48">
        <f>'Subaward 5'!D$118</f>
        <v>0</v>
      </c>
      <c r="E155" s="48">
        <f>'Subaward 5'!E$118</f>
        <v>0</v>
      </c>
      <c r="F155" s="48">
        <f>'Subaward 5'!F$118</f>
        <v>0</v>
      </c>
      <c r="G155" s="46">
        <f t="shared" si="142"/>
        <v>0</v>
      </c>
      <c r="H155" s="14"/>
      <c r="I155" s="127"/>
      <c r="P155" s="135"/>
      <c r="Q155" s="135"/>
      <c r="U155" s="1"/>
      <c r="V155" s="1"/>
      <c r="W155" s="1"/>
    </row>
    <row r="156" spans="1:23" hidden="1" outlineLevel="1" x14ac:dyDescent="0.25">
      <c r="A156" s="35" t="str">
        <f>"Subaward #5 - Indirect Costs ("&amp;'Subaward 5'!A4&amp;")"</f>
        <v>Subaward #5 - Indirect Costs (Institution/Lead PI)</v>
      </c>
      <c r="B156" s="48">
        <f>'Subaward 5'!B$127</f>
        <v>0</v>
      </c>
      <c r="C156" s="48">
        <f>'Subaward 5'!C$127</f>
        <v>0</v>
      </c>
      <c r="D156" s="48">
        <f>'Subaward 5'!D$127</f>
        <v>0</v>
      </c>
      <c r="E156" s="48">
        <f>'Subaward 5'!E$127</f>
        <v>0</v>
      </c>
      <c r="F156" s="48">
        <f>'Subaward 5'!F$127</f>
        <v>0</v>
      </c>
      <c r="G156" s="46">
        <f t="shared" si="142"/>
        <v>0</v>
      </c>
      <c r="H156" s="14"/>
      <c r="I156" s="127" t="s">
        <v>171</v>
      </c>
      <c r="J156" s="48">
        <f>B155+B156</f>
        <v>0</v>
      </c>
      <c r="K156" s="48">
        <f>C155+C156</f>
        <v>0</v>
      </c>
      <c r="L156" s="48">
        <f>D155+D156</f>
        <v>0</v>
      </c>
      <c r="M156" s="48">
        <f>E155+E156</f>
        <v>0</v>
      </c>
      <c r="N156" s="48">
        <f>F155+F156</f>
        <v>0</v>
      </c>
      <c r="O156" s="46">
        <f>SUM(J156:N156)</f>
        <v>0</v>
      </c>
      <c r="P156" s="135"/>
      <c r="Q156" s="135"/>
      <c r="U156" s="1"/>
      <c r="V156" s="1"/>
      <c r="W156" s="1"/>
    </row>
    <row r="157" spans="1:23" outlineLevel="1" x14ac:dyDescent="0.25">
      <c r="A157" s="101" t="s">
        <v>87</v>
      </c>
      <c r="B157" s="50">
        <f>ROUND(SUM(B147:B156),0)</f>
        <v>0</v>
      </c>
      <c r="C157" s="50">
        <f t="shared" ref="C157:F157" si="143">ROUND(SUM(C147:C156),0)</f>
        <v>0</v>
      </c>
      <c r="D157" s="50">
        <f t="shared" si="143"/>
        <v>0</v>
      </c>
      <c r="E157" s="50">
        <f t="shared" si="143"/>
        <v>0</v>
      </c>
      <c r="F157" s="50">
        <f t="shared" si="143"/>
        <v>0</v>
      </c>
      <c r="G157" s="51">
        <f>SUM(B157:F157)</f>
        <v>0</v>
      </c>
      <c r="H157" s="24"/>
      <c r="P157" s="135"/>
      <c r="Q157" s="135"/>
      <c r="U157" s="1"/>
      <c r="V157" s="1"/>
      <c r="W157" s="1"/>
    </row>
    <row r="158" spans="1:23" ht="16.5" outlineLevel="1" thickBot="1" x14ac:dyDescent="0.3">
      <c r="A158" s="36"/>
      <c r="B158" s="65"/>
      <c r="C158" s="65"/>
      <c r="D158" s="65"/>
      <c r="E158" s="65"/>
      <c r="F158" s="65"/>
      <c r="G158" s="65"/>
      <c r="H158" s="24"/>
      <c r="P158" s="135"/>
      <c r="Q158" s="135"/>
      <c r="U158" s="1"/>
      <c r="V158" s="1"/>
      <c r="W158" s="1"/>
    </row>
    <row r="159" spans="1:23" x14ac:dyDescent="0.25">
      <c r="A159" s="356" t="s">
        <v>38</v>
      </c>
      <c r="B159" s="355">
        <f>ROUND(SUM(B144:B145,B157),0)</f>
        <v>0</v>
      </c>
      <c r="C159" s="355">
        <f>ROUND(SUM(C144:C145,C157),0)</f>
        <v>0</v>
      </c>
      <c r="D159" s="355">
        <f>ROUND(SUM(D144:D145,D157),0)</f>
        <v>0</v>
      </c>
      <c r="E159" s="355">
        <f>ROUND(SUM(E144:E145,E157),0)</f>
        <v>0</v>
      </c>
      <c r="F159" s="355">
        <f>ROUND(SUM(F144:F145,F157),0)</f>
        <v>0</v>
      </c>
      <c r="G159" s="349">
        <f>SUM(B159:F159)</f>
        <v>0</v>
      </c>
      <c r="H159" s="24"/>
      <c r="P159" s="135"/>
      <c r="Q159" s="135"/>
      <c r="U159" s="1"/>
      <c r="V159" s="1"/>
      <c r="W159" s="1"/>
    </row>
    <row r="160" spans="1:23" x14ac:dyDescent="0.25">
      <c r="A160" s="100"/>
      <c r="B160" s="228"/>
      <c r="C160" s="228"/>
      <c r="D160" s="228"/>
      <c r="E160" s="228"/>
      <c r="F160" s="228"/>
      <c r="G160" s="65"/>
      <c r="H160" s="24"/>
      <c r="P160" s="135"/>
      <c r="Q160" s="135"/>
      <c r="U160" s="1"/>
      <c r="V160" s="1"/>
      <c r="W160" s="1"/>
    </row>
    <row r="161" spans="1:23" hidden="1" x14ac:dyDescent="0.25">
      <c r="A161" s="229" t="s">
        <v>175</v>
      </c>
      <c r="B161" s="230"/>
      <c r="C161" s="230"/>
      <c r="D161" s="230"/>
      <c r="E161" s="230"/>
      <c r="F161" s="230"/>
      <c r="G161" s="231">
        <f>SUM(B161:F161)</f>
        <v>0</v>
      </c>
      <c r="H161" s="24"/>
      <c r="P161" s="135"/>
      <c r="Q161" s="135"/>
      <c r="U161" s="1"/>
      <c r="V161" s="1"/>
      <c r="W161" s="1"/>
    </row>
    <row r="162" spans="1:23" hidden="1" x14ac:dyDescent="0.25">
      <c r="A162" s="232" t="s">
        <v>176</v>
      </c>
      <c r="B162" s="233">
        <f>B164-B161</f>
        <v>0</v>
      </c>
      <c r="C162" s="233">
        <f>C164-C161</f>
        <v>0</v>
      </c>
      <c r="D162" s="233">
        <f t="shared" ref="D162:F162" si="144">D164-D161</f>
        <v>0</v>
      </c>
      <c r="E162" s="233">
        <f t="shared" si="144"/>
        <v>0</v>
      </c>
      <c r="F162" s="233">
        <f t="shared" si="144"/>
        <v>0</v>
      </c>
      <c r="G162" s="233">
        <f>SUM(B162:F162)</f>
        <v>0</v>
      </c>
      <c r="H162" s="24"/>
      <c r="P162" s="135"/>
      <c r="Q162" s="135"/>
      <c r="U162" s="1"/>
      <c r="V162" s="1"/>
      <c r="W162" s="1"/>
    </row>
    <row r="163" spans="1:23" x14ac:dyDescent="0.25">
      <c r="A163" s="37"/>
      <c r="B163" s="66"/>
      <c r="C163" s="66"/>
      <c r="D163" s="67"/>
      <c r="E163" s="67"/>
      <c r="F163" s="67"/>
      <c r="G163" s="54"/>
      <c r="P163" s="135"/>
      <c r="Q163" s="135"/>
      <c r="U163" s="1"/>
      <c r="V163" s="1"/>
      <c r="W163" s="1"/>
    </row>
    <row r="164" spans="1:23" x14ac:dyDescent="0.25">
      <c r="A164" s="103" t="s">
        <v>222</v>
      </c>
      <c r="B164" s="92">
        <f>B166-B148-B150-B152-B154-B156</f>
        <v>0</v>
      </c>
      <c r="C164" s="92">
        <f>C166-C148-C150-C152-C154-C156</f>
        <v>0</v>
      </c>
      <c r="D164" s="92">
        <f>D166-D148-D150-D152-D154-D156</f>
        <v>0</v>
      </c>
      <c r="E164" s="92">
        <f>E166-E148-E150-E152-E154-E156</f>
        <v>0</v>
      </c>
      <c r="F164" s="92">
        <f>F166-F148-F150-F152-F154-F156</f>
        <v>0</v>
      </c>
      <c r="G164" s="93">
        <f>SUM(B164:F164)</f>
        <v>0</v>
      </c>
      <c r="P164" s="135"/>
      <c r="Q164" s="135"/>
      <c r="U164" s="1"/>
      <c r="V164" s="1"/>
      <c r="W164" s="1"/>
    </row>
    <row r="165" spans="1:23" x14ac:dyDescent="0.25">
      <c r="A165" s="37"/>
      <c r="B165" s="66"/>
      <c r="C165" s="66"/>
      <c r="D165" s="67"/>
      <c r="E165" s="67"/>
      <c r="F165" s="67"/>
      <c r="G165" s="54"/>
      <c r="P165" s="135"/>
      <c r="Q165" s="135"/>
      <c r="U165" s="1"/>
      <c r="V165" s="1"/>
      <c r="W165" s="1"/>
    </row>
    <row r="166" spans="1:23" x14ac:dyDescent="0.25">
      <c r="A166" s="100" t="s">
        <v>2</v>
      </c>
      <c r="B166" s="68">
        <f>SUM(B126,B132,B137,B141,B159)</f>
        <v>0</v>
      </c>
      <c r="C166" s="68">
        <f>SUM(C126,C132,C137,C141,C159)</f>
        <v>0</v>
      </c>
      <c r="D166" s="68">
        <f>SUM(D126,D132,D137,D141,D159)</f>
        <v>0</v>
      </c>
      <c r="E166" s="68">
        <f>SUM(E126,E132,E137,E141,E159)</f>
        <v>0</v>
      </c>
      <c r="F166" s="68">
        <f>SUM(F126,F132,F137,F141,F159)</f>
        <v>0</v>
      </c>
      <c r="G166" s="54">
        <f t="shared" ref="G166:G171" si="145">SUM(B166:F166)</f>
        <v>0</v>
      </c>
      <c r="H166" s="3"/>
      <c r="P166" s="135"/>
      <c r="Q166" s="135"/>
      <c r="U166" s="1"/>
      <c r="V166" s="1"/>
      <c r="W166" s="1"/>
    </row>
    <row r="167" spans="1:23" outlineLevel="1" x14ac:dyDescent="0.25">
      <c r="A167" s="35" t="s">
        <v>45</v>
      </c>
      <c r="B167" s="81">
        <f>-B132</f>
        <v>0</v>
      </c>
      <c r="C167" s="81">
        <f>-C132</f>
        <v>0</v>
      </c>
      <c r="D167" s="81">
        <f>-D132</f>
        <v>0</v>
      </c>
      <c r="E167" s="81">
        <f>-E132</f>
        <v>0</v>
      </c>
      <c r="F167" s="81">
        <f>-F132</f>
        <v>0</v>
      </c>
      <c r="G167" s="54">
        <f t="shared" si="145"/>
        <v>0</v>
      </c>
      <c r="H167" s="3"/>
      <c r="P167" s="135"/>
      <c r="Q167" s="135"/>
      <c r="U167" s="1"/>
      <c r="V167" s="1"/>
      <c r="W167" s="1"/>
    </row>
    <row r="168" spans="1:23" outlineLevel="1" x14ac:dyDescent="0.25">
      <c r="A168" s="87" t="s">
        <v>32</v>
      </c>
      <c r="B168" s="81">
        <f>-B144</f>
        <v>0</v>
      </c>
      <c r="C168" s="81">
        <f>-C144</f>
        <v>0</v>
      </c>
      <c r="D168" s="81">
        <f>-D144</f>
        <v>0</v>
      </c>
      <c r="E168" s="81">
        <f>-E144</f>
        <v>0</v>
      </c>
      <c r="F168" s="81">
        <f>-F144</f>
        <v>0</v>
      </c>
      <c r="G168" s="54">
        <f t="shared" si="145"/>
        <v>0</v>
      </c>
      <c r="H168" s="3"/>
      <c r="P168" s="135"/>
      <c r="Q168" s="135"/>
      <c r="U168" s="1"/>
      <c r="V168" s="1"/>
      <c r="W168" s="1"/>
    </row>
    <row r="169" spans="1:23" outlineLevel="1" x14ac:dyDescent="0.25">
      <c r="A169" s="87" t="s">
        <v>47</v>
      </c>
      <c r="B169" s="91">
        <f>-B141</f>
        <v>0</v>
      </c>
      <c r="C169" s="91">
        <f>-C141</f>
        <v>0</v>
      </c>
      <c r="D169" s="91">
        <f>-D141</f>
        <v>0</v>
      </c>
      <c r="E169" s="91">
        <f>-E141</f>
        <v>0</v>
      </c>
      <c r="F169" s="91">
        <f>-F141</f>
        <v>0</v>
      </c>
      <c r="G169" s="54">
        <f t="shared" si="145"/>
        <v>0</v>
      </c>
      <c r="H169" s="3"/>
      <c r="P169" s="135"/>
      <c r="Q169" s="135"/>
      <c r="U169" s="1"/>
      <c r="V169" s="1"/>
      <c r="W169" s="1"/>
    </row>
    <row r="170" spans="1:23" outlineLevel="1" x14ac:dyDescent="0.25">
      <c r="A170" s="87" t="str">
        <f>"Less Subaward #1 Total Costs &gt; "&amp;DOLLAR($J$170,0)</f>
        <v>Less Subaward #1 Total Costs &gt; $25,000</v>
      </c>
      <c r="B170" s="144">
        <f>IF(J170&gt;0,-IF(J148&gt;$J$170, J148-$J$170, 0),0)</f>
        <v>0</v>
      </c>
      <c r="C170" s="144">
        <f>IF(J170&gt;0,-IF(J148&gt;$J$170,K148,IF(SUM($J148:K$148)&lt;$J$170,0,SUM($J148:K$148)-$J$170+SUM($B170:B$170))),0)</f>
        <v>0</v>
      </c>
      <c r="D170" s="144">
        <f>IF(J170&gt;0,-IF(K148&gt;$J$170,L148,IF(SUM($J148:L$148)&lt;$J$170,0,SUM($J148:L$148)-$J$170+SUM($B170:C$170))),0)</f>
        <v>0</v>
      </c>
      <c r="E170" s="144">
        <f>IF(J170&gt;0,-IF(L148&gt;$J$170,M148,IF(SUM($J148:M$148)&lt;$J$170,0,SUM($J148:M$148)-$J$170+SUM($B170:D$170))),0)</f>
        <v>0</v>
      </c>
      <c r="F170" s="144">
        <f>IF(J170&gt;0,-IF(M148&gt;$J$170,N148,IF(SUM($J148:N$148)&lt;$J$170,0,SUM($J148:N$148)-$J$170+SUM($B170:E$170))),0)</f>
        <v>0</v>
      </c>
      <c r="G170" s="46">
        <f t="shared" si="145"/>
        <v>0</v>
      </c>
      <c r="H170" s="3"/>
      <c r="I170" s="127" t="s">
        <v>213</v>
      </c>
      <c r="J170" s="282">
        <v>25000</v>
      </c>
      <c r="P170" s="135"/>
      <c r="Q170" s="135"/>
      <c r="U170" s="1"/>
      <c r="V170" s="1"/>
      <c r="W170" s="1"/>
    </row>
    <row r="171" spans="1:23" ht="16.5" outlineLevel="1" thickBot="1" x14ac:dyDescent="0.3">
      <c r="A171" s="87" t="str">
        <f>"Less Subaward #2 Total Costs &gt; "&amp;DOLLAR($J$170,0)</f>
        <v>Less Subaward #2 Total Costs &gt; $25,000</v>
      </c>
      <c r="B171" s="144">
        <f>IF(J170&gt;0,-IF(J150&gt;$J$170, J150-$J$170, 0),0)</f>
        <v>0</v>
      </c>
      <c r="C171" s="144">
        <f>IF(J170&gt;0,-IF(J150&gt;$J$170,K150,IF(SUM($J$150:K150)&lt;$J$170,0,SUM($J$150:K150)-$J$170+SUM($B$171:B171))),0)</f>
        <v>0</v>
      </c>
      <c r="D171" s="144">
        <f>IF(J170&gt;0,-IF(K150&gt;$J$170,L150,IF(SUM($J$150:L150)&lt;$J$170,0,SUM($J$150:L150)-$J$170+SUM($B$171:C171))),0)</f>
        <v>0</v>
      </c>
      <c r="E171" s="144">
        <f>IF(J170&gt;0,-IF(L150&gt;$J$170,M150,IF(SUM($J$150:M150)&lt;$J$170,0,SUM($J$150:M150)-$J$170+SUM($B$171:D171))),0)</f>
        <v>0</v>
      </c>
      <c r="F171" s="144">
        <f>IF(J170&gt;0,-IF(M150&gt;$J$170,N150,IF(SUM($J$150:N150)&lt;$J$170,0,SUM($J$150:N150)-$J$170+SUM($B$171:E171))),0)</f>
        <v>0</v>
      </c>
      <c r="G171" s="46">
        <f t="shared" si="145"/>
        <v>0</v>
      </c>
      <c r="H171" s="3"/>
      <c r="P171" s="135"/>
      <c r="Q171" s="135"/>
      <c r="U171" s="1"/>
      <c r="V171" s="1"/>
      <c r="W171" s="1"/>
    </row>
    <row r="172" spans="1:23" hidden="1" outlineLevel="1" x14ac:dyDescent="0.25">
      <c r="A172" s="87" t="str">
        <f>"Less Subaward #3 Total Costs &gt; "&amp;DOLLAR($J$170,0)</f>
        <v>Less Subaward #3 Total Costs &gt; $25,000</v>
      </c>
      <c r="B172" s="144">
        <f>IF($J$170&gt;0,-IF(J152&gt;$J$170, J152-$J$170, 0),0)</f>
        <v>0</v>
      </c>
      <c r="C172" s="144">
        <f>IF(J170&gt;0,-IF(J152&gt;$J$170,K152,IF(SUM($J$152:K152)&lt;$J$170,0,SUM($J$152:K152)-$J$170+SUM($B$172:B172))),0)</f>
        <v>0</v>
      </c>
      <c r="D172" s="144">
        <f>IF(J170&gt;0,-IF(K152&gt;$J$170,L152,IF(SUM($J$152:L152)&lt;$J$170,0,SUM($J$152:L152)-$J$170+SUM($B$172:C172))),0)</f>
        <v>0</v>
      </c>
      <c r="E172" s="144">
        <f>IF(J170&gt;0,-IF(L152&gt;$J$170,M152,IF(SUM($J$152:M152)&lt;$J$170,0,SUM($J$152:M152)-$J$170+SUM($B$172:D172))),0)</f>
        <v>0</v>
      </c>
      <c r="F172" s="144">
        <f>IF(J170&gt;0,-IF(M152&gt;$J$170,N152,IF(SUM($J$152:N152)&lt;$J$170,0,SUM($J$152:N152)-$J$170+SUM($B$172:E172))),0)</f>
        <v>0</v>
      </c>
      <c r="G172" s="46">
        <f>SUM(B172:F172)</f>
        <v>0</v>
      </c>
      <c r="H172" s="3"/>
      <c r="P172" s="135"/>
      <c r="Q172" s="135"/>
      <c r="U172" s="1"/>
      <c r="V172" s="1"/>
      <c r="W172" s="1"/>
    </row>
    <row r="173" spans="1:23" hidden="1" outlineLevel="1" x14ac:dyDescent="0.25">
      <c r="A173" s="87" t="str">
        <f>"Less Subaward #4 Total Costs &gt; "&amp;DOLLAR($J$170,0)</f>
        <v>Less Subaward #4 Total Costs &gt; $25,000</v>
      </c>
      <c r="B173" s="144">
        <f>IF($J$170&gt;0,-IF(J154&gt;$J$170, J154-$J$170, 0),0)</f>
        <v>0</v>
      </c>
      <c r="C173" s="144">
        <f>IF($J$170&gt;0,-IF(J154&gt;$J$170,K154,IF(SUM($J154:K$154)&lt;$J$170,0,SUM($J154:K$154)-$J$170+SUM($B173:B$173))),0)</f>
        <v>0</v>
      </c>
      <c r="D173" s="144">
        <f>IF(J170&gt;0,-IF(K154&gt;$J$170,L154,IF(SUM($J154:L$154)&lt;$J$170,0,SUM($J154:L$154)-$J$170+SUM($B173:C$173))),0)</f>
        <v>0</v>
      </c>
      <c r="E173" s="144">
        <f>IF(J170&gt;0,-IF(L154&gt;$J$170,M154,IF(SUM($J154:M$154)&lt;$J$170,0,SUM($J154:M$154)-$J$170+SUM($B173:D$173))),0)</f>
        <v>0</v>
      </c>
      <c r="F173" s="144">
        <f>IF(J170&gt;0,-IF(M154&gt;$J$170,N154,IF(SUM($J154:N$154)&lt;$J$170,0,SUM($J154:N$154)-$J$170+SUM($B173:E$173))),0)</f>
        <v>0</v>
      </c>
      <c r="G173" s="46">
        <f t="shared" ref="G173" si="146">SUM(B173:F173)</f>
        <v>0</v>
      </c>
      <c r="H173" s="3"/>
      <c r="P173" s="135"/>
      <c r="Q173" s="135"/>
      <c r="U173" s="1"/>
      <c r="V173" s="1"/>
      <c r="W173" s="1"/>
    </row>
    <row r="174" spans="1:23" hidden="1" outlineLevel="1" x14ac:dyDescent="0.25">
      <c r="A174" s="87" t="str">
        <f>"Less Subaward #5 Total Costs &gt; "&amp;DOLLAR($J$170,0)</f>
        <v>Less Subaward #5 Total Costs &gt; $25,000</v>
      </c>
      <c r="B174" s="144">
        <f>IF($J$170&gt;0,-IF(J156&gt;$J$170, J156-$J$170, 0),0)</f>
        <v>0</v>
      </c>
      <c r="C174" s="144">
        <f>IF($J$170&gt;0,-IF(J156&gt;$J$170,K156,IF(SUM($J156:K$156)&lt;$J$170,0,SUM($J156:K$156)-$J$170+SUM($B174:B$174))),0)</f>
        <v>0</v>
      </c>
      <c r="D174" s="144">
        <f>IF(J170&gt;0,-IF(K156&gt;$J$170,L156,IF(SUM($J156:L$156)&lt;$J$170,0,SUM($J156:L$156)-$J$170+SUM($B174:C$174))),0)</f>
        <v>0</v>
      </c>
      <c r="E174" s="144">
        <f>IF(J170&gt;0,-IF(L156&gt;$J$170,M156,IF(SUM($J$156:M156)&lt;$J$170,0,SUM($J$156:M156)-$J$170+SUM($B$174:D174))),0)</f>
        <v>0</v>
      </c>
      <c r="F174" s="144">
        <f>IF(J170&gt;0,-IF(M156&gt;$J$170,N156,IF(SUM($J$156:N156)&lt;$J$170,0,SUM($J$156:N156)-$J$170+SUM($B$174:E174))),0)</f>
        <v>0</v>
      </c>
      <c r="G174" s="46">
        <f>SUM(B174:F174)</f>
        <v>0</v>
      </c>
      <c r="H174" s="3"/>
      <c r="P174" s="135"/>
      <c r="Q174" s="135"/>
      <c r="U174" s="1"/>
      <c r="V174" s="1"/>
      <c r="W174" s="1"/>
    </row>
    <row r="175" spans="1:23" x14ac:dyDescent="0.25">
      <c r="A175" s="348" t="s">
        <v>13</v>
      </c>
      <c r="B175" s="349">
        <f>ROUND(SUM(B166:B174),0)</f>
        <v>0</v>
      </c>
      <c r="C175" s="349">
        <f t="shared" ref="C175:F175" si="147">ROUND(SUM(C166:C174),0)</f>
        <v>0</v>
      </c>
      <c r="D175" s="349">
        <f t="shared" si="147"/>
        <v>0</v>
      </c>
      <c r="E175" s="349">
        <f t="shared" si="147"/>
        <v>0</v>
      </c>
      <c r="F175" s="349">
        <f t="shared" si="147"/>
        <v>0</v>
      </c>
      <c r="G175" s="353">
        <f>SUM(B175:F175)</f>
        <v>0</v>
      </c>
      <c r="H175" s="3"/>
      <c r="P175" s="135"/>
      <c r="Q175" s="135"/>
      <c r="U175" s="1"/>
      <c r="V175" s="1"/>
      <c r="W175" s="1"/>
    </row>
    <row r="176" spans="1:23" x14ac:dyDescent="0.25">
      <c r="A176" s="26"/>
      <c r="B176" s="69"/>
      <c r="C176" s="69"/>
      <c r="D176" s="48"/>
      <c r="E176" s="48"/>
      <c r="F176" s="48"/>
      <c r="G176" s="46"/>
      <c r="P176" s="135"/>
      <c r="Q176" s="135"/>
      <c r="U176" s="1"/>
      <c r="V176" s="1"/>
      <c r="W176" s="1"/>
    </row>
    <row r="177" spans="1:23" x14ac:dyDescent="0.25">
      <c r="A177" s="98" t="s">
        <v>30</v>
      </c>
      <c r="B177" s="69"/>
      <c r="C177" s="69"/>
      <c r="D177" s="48"/>
      <c r="E177" s="48"/>
      <c r="F177" s="48"/>
      <c r="G177" s="46"/>
      <c r="I177" s="127" t="s">
        <v>123</v>
      </c>
      <c r="J177" s="132" t="s">
        <v>125</v>
      </c>
      <c r="P177" s="127" t="s">
        <v>134</v>
      </c>
      <c r="Q177" s="127" t="s">
        <v>133</v>
      </c>
      <c r="U177" s="1"/>
      <c r="V177" s="1"/>
      <c r="W177" s="1"/>
    </row>
    <row r="178" spans="1:23" x14ac:dyDescent="0.25">
      <c r="A178" s="13" t="str">
        <f>IF(J178="TC","F&amp;A Costs @ "&amp;ROUND((I178/(1-I178)),4)*100&amp;"% TDC or " &amp;I178*100&amp;"% TC", "F&amp;A Costs @ "&amp;I178*100&amp;"% "&amp;J178)</f>
        <v>F&amp;A Costs @ 53.5% MTDC</v>
      </c>
      <c r="B178" s="48">
        <f>IF($J$178="MTDC",(B175*$I$178),IF($J$178="TDC",(B166*$I$178),IF($J$178="TC",(B166*($I$178/(1-$I$178))))))</f>
        <v>0</v>
      </c>
      <c r="C178" s="48">
        <f>IF($J$178="MTDC",(C175*$I$178),IF($J$178="TDC",(C166*$I$178),IF($J$178="TC",(C166*($I$178/(1-$I$178))))))</f>
        <v>0</v>
      </c>
      <c r="D178" s="48">
        <f>IF($J$178="MTDC",(D175*$I$178),IF($J$178="TDC",(D166*$I$178),IF($J$178="TC",(D166*($I$178/(1-$I$178))))))</f>
        <v>0</v>
      </c>
      <c r="E178" s="48">
        <f>IF($J$178="MTDC",(E175*$I$178),IF($J$178="TDC",(E166*$I$178),IF($J$178="TC",(E166*($I$178/(1-$I$178))))))</f>
        <v>0</v>
      </c>
      <c r="F178" s="48">
        <f>IF($J$178="MTDC",(F175*$I$178),IF($J$178="TDC",(F166*$I$178),IF($J$178="TC",(F166*($I$178/(1-$I$178))))))</f>
        <v>0</v>
      </c>
      <c r="G178" s="46">
        <f>SUM(B178:F178)</f>
        <v>0</v>
      </c>
      <c r="H178" s="3"/>
      <c r="I178" s="279">
        <v>0.53500000000000003</v>
      </c>
      <c r="J178" s="278" t="s">
        <v>124</v>
      </c>
      <c r="P178" s="139"/>
      <c r="Q178" s="135" t="s">
        <v>124</v>
      </c>
      <c r="U178" s="1"/>
      <c r="V178" s="1"/>
      <c r="W178" s="1"/>
    </row>
    <row r="179" spans="1:23" x14ac:dyDescent="0.25">
      <c r="A179" s="96" t="s">
        <v>53</v>
      </c>
      <c r="B179" s="53">
        <f>ROUND(SUM(B178:B178),0)</f>
        <v>0</v>
      </c>
      <c r="C179" s="53">
        <f t="shared" ref="C179:F179" si="148">ROUND(SUM(C178:C178),0)</f>
        <v>0</v>
      </c>
      <c r="D179" s="53">
        <f t="shared" si="148"/>
        <v>0</v>
      </c>
      <c r="E179" s="53">
        <f t="shared" si="148"/>
        <v>0</v>
      </c>
      <c r="F179" s="53">
        <f t="shared" si="148"/>
        <v>0</v>
      </c>
      <c r="G179" s="51">
        <f>SUM(B179:F179)</f>
        <v>0</v>
      </c>
      <c r="H179" s="3"/>
      <c r="P179" s="135"/>
      <c r="Q179" s="135" t="s">
        <v>135</v>
      </c>
      <c r="U179" s="1"/>
      <c r="V179" s="1"/>
      <c r="W179" s="1"/>
    </row>
    <row r="180" spans="1:23" ht="16.5" thickBot="1" x14ac:dyDescent="0.3">
      <c r="A180" s="13"/>
      <c r="B180" s="48"/>
      <c r="C180" s="48"/>
      <c r="D180" s="48"/>
      <c r="E180" s="48"/>
      <c r="F180" s="48"/>
      <c r="G180" s="46"/>
      <c r="I180" s="141"/>
      <c r="P180" s="135"/>
      <c r="Q180" s="135" t="s">
        <v>136</v>
      </c>
      <c r="U180" s="1"/>
      <c r="V180" s="1"/>
      <c r="W180" s="1"/>
    </row>
    <row r="181" spans="1:23" x14ac:dyDescent="0.25">
      <c r="A181" s="350" t="s">
        <v>96</v>
      </c>
      <c r="B181" s="352">
        <f>B166+B179</f>
        <v>0</v>
      </c>
      <c r="C181" s="352">
        <f>C166+C179</f>
        <v>0</v>
      </c>
      <c r="D181" s="352">
        <f>D166+D179</f>
        <v>0</v>
      </c>
      <c r="E181" s="352">
        <f>E166+E179</f>
        <v>0</v>
      </c>
      <c r="F181" s="352">
        <f>F166+F179</f>
        <v>0</v>
      </c>
      <c r="G181" s="352">
        <f>SUM(B181:F181)</f>
        <v>0</v>
      </c>
      <c r="H181" s="3"/>
      <c r="I181" s="140"/>
      <c r="P181" s="135"/>
      <c r="Q181" s="135"/>
      <c r="U181" s="1"/>
      <c r="V181" s="1"/>
      <c r="W181" s="1"/>
    </row>
    <row r="182" spans="1:23" x14ac:dyDescent="0.25">
      <c r="A182" s="97"/>
      <c r="B182" s="58"/>
      <c r="C182" s="58"/>
      <c r="D182" s="58"/>
      <c r="E182" s="58"/>
      <c r="F182" s="58"/>
      <c r="G182" s="58"/>
      <c r="H182" s="3"/>
      <c r="P182" s="135"/>
      <c r="Q182" s="135"/>
      <c r="U182" s="1"/>
      <c r="V182" s="1"/>
      <c r="W182" s="1"/>
    </row>
    <row r="183" spans="1:23" x14ac:dyDescent="0.25">
      <c r="A183" s="283" t="s">
        <v>107</v>
      </c>
      <c r="B183" s="284" t="s">
        <v>6</v>
      </c>
      <c r="C183" s="284" t="s">
        <v>5</v>
      </c>
      <c r="D183" s="284" t="s">
        <v>7</v>
      </c>
      <c r="E183" s="284" t="s">
        <v>8</v>
      </c>
      <c r="F183" s="284" t="s">
        <v>9</v>
      </c>
      <c r="G183" s="284" t="s">
        <v>10</v>
      </c>
      <c r="P183" s="135"/>
      <c r="Q183" s="135"/>
      <c r="U183" s="1"/>
      <c r="V183" s="1"/>
      <c r="W183" s="1"/>
    </row>
    <row r="184" spans="1:23" ht="20.25" customHeight="1" outlineLevel="1" x14ac:dyDescent="0.25">
      <c r="A184" s="285" t="s">
        <v>197</v>
      </c>
      <c r="B184" s="286">
        <f>'Cost Share'!B110</f>
        <v>0</v>
      </c>
      <c r="C184" s="286">
        <f>'Cost Share'!C110</f>
        <v>0</v>
      </c>
      <c r="D184" s="286">
        <f>'Cost Share'!D110</f>
        <v>0</v>
      </c>
      <c r="E184" s="286">
        <f>'Cost Share'!E110</f>
        <v>0</v>
      </c>
      <c r="F184" s="286">
        <f>'Cost Share'!F110</f>
        <v>0</v>
      </c>
      <c r="G184" s="287">
        <f t="shared" ref="G184:G185" si="149">SUM(B184:F184)</f>
        <v>0</v>
      </c>
      <c r="P184" s="135"/>
      <c r="Q184" s="135"/>
      <c r="U184" s="1"/>
      <c r="V184" s="1"/>
      <c r="W184" s="1"/>
    </row>
    <row r="185" spans="1:23" ht="22.5" customHeight="1" outlineLevel="1" x14ac:dyDescent="0.25">
      <c r="A185" s="285" t="s">
        <v>196</v>
      </c>
      <c r="B185" s="286">
        <f>'Cost Share'!B120</f>
        <v>0</v>
      </c>
      <c r="C185" s="286">
        <f>'Cost Share'!C120</f>
        <v>0</v>
      </c>
      <c r="D185" s="286">
        <f>'Cost Share'!D120</f>
        <v>0</v>
      </c>
      <c r="E185" s="286">
        <f>'Cost Share'!E120</f>
        <v>0</v>
      </c>
      <c r="F185" s="286">
        <f>'Cost Share'!F120</f>
        <v>0</v>
      </c>
      <c r="G185" s="287">
        <f t="shared" si="149"/>
        <v>0</v>
      </c>
      <c r="P185" s="135"/>
      <c r="Q185" s="135"/>
      <c r="U185" s="1"/>
      <c r="V185" s="1"/>
      <c r="W185" s="1"/>
    </row>
    <row r="186" spans="1:23" ht="19.5" customHeight="1" outlineLevel="1" x14ac:dyDescent="0.25">
      <c r="A186" s="285" t="s">
        <v>198</v>
      </c>
      <c r="B186" s="288">
        <f>'Cost Share'!B128+'Cost Share'!B133+'Cost Share'!B137+'Cost Share'!B155</f>
        <v>0</v>
      </c>
      <c r="C186" s="288">
        <f>'Cost Share'!C128+'Cost Share'!C133+'Cost Share'!C137+'Cost Share'!C155</f>
        <v>0</v>
      </c>
      <c r="D186" s="288">
        <f>'Cost Share'!D128+'Cost Share'!D133+'Cost Share'!D137+'Cost Share'!D155</f>
        <v>0</v>
      </c>
      <c r="E186" s="288">
        <f>'Cost Share'!E128+'Cost Share'!E133+'Cost Share'!E137+'Cost Share'!E155</f>
        <v>0</v>
      </c>
      <c r="F186" s="288">
        <f>'Cost Share'!F128+'Cost Share'!F133+'Cost Share'!F137+'Cost Share'!F155</f>
        <v>0</v>
      </c>
      <c r="G186" s="287">
        <f>SUM(B186:F186)</f>
        <v>0</v>
      </c>
      <c r="P186" s="135"/>
      <c r="Q186" s="135"/>
      <c r="U186" s="1"/>
      <c r="V186" s="1"/>
      <c r="W186" s="1"/>
    </row>
    <row r="187" spans="1:23" ht="21.75" customHeight="1" x14ac:dyDescent="0.25">
      <c r="A187" s="289" t="s">
        <v>110</v>
      </c>
      <c r="B187" s="290">
        <f>SUM(B184:B186)</f>
        <v>0</v>
      </c>
      <c r="C187" s="290">
        <f t="shared" ref="C187:F187" si="150">SUM(C184:C186)</f>
        <v>0</v>
      </c>
      <c r="D187" s="290">
        <f t="shared" si="150"/>
        <v>0</v>
      </c>
      <c r="E187" s="290">
        <f t="shared" si="150"/>
        <v>0</v>
      </c>
      <c r="F187" s="290">
        <f t="shared" si="150"/>
        <v>0</v>
      </c>
      <c r="G187" s="291">
        <f t="shared" ref="G187" si="151">SUM(B187:F187)</f>
        <v>0</v>
      </c>
      <c r="I187" s="48"/>
      <c r="P187" s="135"/>
      <c r="Q187" s="135"/>
      <c r="U187" s="1"/>
      <c r="V187" s="1"/>
      <c r="W187" s="1"/>
    </row>
    <row r="188" spans="1:23" ht="21.75" customHeight="1" x14ac:dyDescent="0.25">
      <c r="A188" s="306" t="s">
        <v>223</v>
      </c>
      <c r="B188" s="346"/>
      <c r="C188" s="346"/>
      <c r="D188" s="346"/>
      <c r="E188" s="346"/>
      <c r="F188" s="346"/>
      <c r="G188" s="347"/>
      <c r="I188" s="48"/>
      <c r="P188" s="135"/>
      <c r="Q188" s="135"/>
      <c r="U188" s="1"/>
      <c r="V188" s="1"/>
      <c r="W188" s="1"/>
    </row>
    <row r="189" spans="1:23" ht="21.75" customHeight="1" x14ac:dyDescent="0.25">
      <c r="A189" s="306" t="s">
        <v>224</v>
      </c>
      <c r="B189" s="346"/>
      <c r="C189" s="346"/>
      <c r="D189" s="346"/>
      <c r="E189" s="346"/>
      <c r="F189" s="346"/>
      <c r="G189" s="347"/>
      <c r="I189" s="48"/>
      <c r="P189" s="135"/>
      <c r="Q189" s="135"/>
      <c r="U189" s="1"/>
      <c r="V189" s="1"/>
      <c r="W189" s="1"/>
    </row>
    <row r="190" spans="1:23" x14ac:dyDescent="0.25">
      <c r="P190" s="135"/>
      <c r="Q190" s="135"/>
      <c r="U190" s="1"/>
      <c r="V190" s="1"/>
      <c r="W190" s="1"/>
    </row>
    <row r="191" spans="1:23" ht="16.5" thickBot="1" x14ac:dyDescent="0.3">
      <c r="P191" s="135"/>
      <c r="Q191" s="135"/>
      <c r="U191" s="1"/>
      <c r="V191" s="1"/>
      <c r="W191" s="1"/>
    </row>
    <row r="192" spans="1:23" ht="42.75" customHeight="1" thickBot="1" x14ac:dyDescent="0.3">
      <c r="A192" s="378" t="s">
        <v>57</v>
      </c>
      <c r="B192" s="379"/>
      <c r="C192" s="379"/>
      <c r="D192" s="379"/>
      <c r="E192" s="379"/>
      <c r="F192" s="379"/>
      <c r="G192" s="380"/>
      <c r="P192" s="135"/>
      <c r="Q192" s="135"/>
      <c r="U192" s="1"/>
      <c r="V192" s="1"/>
      <c r="W192" s="1"/>
    </row>
    <row r="195" spans="1:23" x14ac:dyDescent="0.25">
      <c r="A195" s="27"/>
      <c r="U195" s="1"/>
      <c r="V195" s="1"/>
      <c r="W195" s="1"/>
    </row>
  </sheetData>
  <sheetProtection formatCells="0" formatColumns="0" formatRows="0" insertRows="0" deleteColumns="0" deleteRows="0" selectLockedCells="1" sort="0"/>
  <mergeCells count="21">
    <mergeCell ref="AB2:AI2"/>
    <mergeCell ref="A20:A21"/>
    <mergeCell ref="A55:A56"/>
    <mergeCell ref="A60:A61"/>
    <mergeCell ref="A65:A66"/>
    <mergeCell ref="A192:G192"/>
    <mergeCell ref="A25:A26"/>
    <mergeCell ref="A30:A31"/>
    <mergeCell ref="A35:A36"/>
    <mergeCell ref="A87:A88"/>
    <mergeCell ref="A93:A94"/>
    <mergeCell ref="A99:A100"/>
    <mergeCell ref="A40:A41"/>
    <mergeCell ref="A45:A46"/>
    <mergeCell ref="A50:A51"/>
    <mergeCell ref="Y1:Z1"/>
    <mergeCell ref="I1:O2"/>
    <mergeCell ref="A1:G2"/>
    <mergeCell ref="A10:A11"/>
    <mergeCell ref="A15:A16"/>
    <mergeCell ref="A3:G3"/>
  </mergeCells>
  <phoneticPr fontId="2" type="noConversion"/>
  <conditionalFormatting sqref="B162:G162">
    <cfRule type="cellIs" dxfId="1" priority="1" operator="greaterThan">
      <formula>0</formula>
    </cfRule>
  </conditionalFormatting>
  <dataValidations count="3">
    <dataValidation type="list" allowBlank="1" showInputMessage="1" showErrorMessage="1" sqref="J178" xr:uid="{00000000-0002-0000-0200-000000000000}">
      <formula1>$Q$178:$Q$180</formula1>
    </dataValidation>
    <dataValidation type="list" allowBlank="1" showInputMessage="1" showErrorMessage="1" sqref="U32 U101 U22 U12 U27 U17 U95 U89 U37 U62 U52 U42 U57 U47 U67:U68 Z3" xr:uid="{00000000-0002-0000-0200-000001000000}">
      <formula1>$Q$4:$Q$5</formula1>
    </dataValidation>
    <dataValidation type="list" allowBlank="1" showInputMessage="1" showErrorMessage="1" sqref="V12 V67:V68 V47 V62 V57 V52 V42 V37 V105 V17 V101 V95 V89 V75:V76 V79:V80 V113 V71:V72 V109 V32 V27 V22 V83" xr:uid="{00000000-0002-0000-0200-000002000000}">
      <formula1>$J$117:$J$123</formula1>
    </dataValidation>
  </dataValidations>
  <hyperlinks>
    <hyperlink ref="T1" r:id="rId1" xr:uid="{00000000-0004-0000-0200-000001000000}"/>
    <hyperlink ref="T3" r:id="rId2" xr:uid="{00000000-0004-0000-0200-000002000000}"/>
    <hyperlink ref="T4" r:id="rId3" xr:uid="{00000000-0004-0000-0200-000000000000}"/>
    <hyperlink ref="AB1" r:id="rId4" xr:uid="{4D3E1E74-54FE-419C-979E-E6B1A12E2BB6}"/>
    <hyperlink ref="AB2:AI2" r:id="rId5" display="2023 NRSA Postdoc Stipends (Yrs of Experience): " xr:uid="{F5961DF5-6A98-40AE-BD3F-0885D4FAA285}"/>
  </hyperlinks>
  <printOptions horizontalCentered="1"/>
  <pageMargins left="0.5" right="0.5" top="0.5" bottom="0.5" header="0.25" footer="0.25"/>
  <pageSetup scale="34" orientation="portrait" r:id="rId6"/>
  <headerFooter scaleWithDoc="0"/>
  <drawing r:id="rId7"/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I131" sqref="I131"/>
    </sheetView>
  </sheetViews>
  <sheetFormatPr defaultColWidth="8.7109375" defaultRowHeight="15.75" outlineLevelRow="1" x14ac:dyDescent="0.25"/>
  <cols>
    <col min="1" max="1" width="55.7109375" style="12" customWidth="1"/>
    <col min="2" max="6" width="13.7109375" style="12" customWidth="1"/>
    <col min="7" max="7" width="14.7109375" style="173" customWidth="1"/>
    <col min="8" max="8" width="2.7109375" style="173" customWidth="1"/>
    <col min="9" max="9" width="33" style="12" customWidth="1"/>
    <col min="10" max="14" width="11.7109375" style="12" customWidth="1"/>
    <col min="15" max="15" width="14.42578125" style="1" bestFit="1" customWidth="1"/>
    <col min="16" max="16" width="15" style="12" hidden="1" customWidth="1"/>
    <col min="17" max="17" width="8.7109375" style="12" hidden="1" customWidth="1"/>
    <col min="18" max="18" width="8.7109375" style="82" hidden="1" customWidth="1"/>
    <col min="19" max="19" width="3.42578125" style="82" customWidth="1"/>
    <col min="20" max="20" width="28.42578125" style="82" bestFit="1" customWidth="1"/>
    <col min="21" max="21" width="12.7109375" style="12" customWidth="1"/>
    <col min="22" max="22" width="12" style="12" bestFit="1" customWidth="1"/>
    <col min="23" max="16384" width="8.7109375" style="12"/>
  </cols>
  <sheetData>
    <row r="1" spans="1:23" s="173" customFormat="1" ht="40.35" customHeight="1" x14ac:dyDescent="0.3">
      <c r="A1" s="40"/>
      <c r="B1" s="12"/>
      <c r="G1" s="174"/>
      <c r="I1" s="412" t="s">
        <v>18</v>
      </c>
      <c r="J1" s="413"/>
      <c r="K1" s="413"/>
      <c r="L1" s="413"/>
      <c r="M1" s="413"/>
      <c r="N1" s="413"/>
      <c r="O1" s="414"/>
      <c r="U1" s="175"/>
      <c r="V1" s="175"/>
    </row>
    <row r="2" spans="1:23" s="173" customFormat="1" x14ac:dyDescent="0.25">
      <c r="A2" s="415" t="s">
        <v>173</v>
      </c>
      <c r="B2" s="415"/>
      <c r="C2" s="415"/>
      <c r="D2" s="415"/>
      <c r="E2" s="415"/>
      <c r="F2" s="415"/>
      <c r="G2" s="415"/>
      <c r="I2" s="28"/>
      <c r="J2" s="176" t="s">
        <v>28</v>
      </c>
      <c r="K2" s="176"/>
      <c r="L2" s="176"/>
      <c r="M2" s="176"/>
      <c r="N2" s="176"/>
      <c r="O2" s="43" t="s">
        <v>29</v>
      </c>
      <c r="P2" s="12">
        <f>IF(MONTH(J3)&gt;6, 12+7-MONTH(J3), 7-MONTH(J3))</f>
        <v>6</v>
      </c>
      <c r="R2" s="173" t="s">
        <v>129</v>
      </c>
      <c r="T2" s="177" t="s">
        <v>158</v>
      </c>
      <c r="U2" s="326">
        <f>Budget!U1</f>
        <v>0</v>
      </c>
    </row>
    <row r="3" spans="1:23" x14ac:dyDescent="0.25">
      <c r="A3" s="178" t="str">
        <f>"Period of Performance: "&amp;TEXT(J3, "mm/dd/yy")&amp;" - "&amp;TEXT(O3, "mm/dd/yy")&amp;" ["&amp;ROUND(J5,2)&amp; " Year(s)]"</f>
        <v>Period of Performance: 01/00/00 - 01/00/00 [0 Year(s)]</v>
      </c>
      <c r="B3" s="179"/>
      <c r="C3" s="179"/>
      <c r="D3" s="179"/>
      <c r="E3" s="179"/>
      <c r="F3" s="179"/>
      <c r="G3" s="178"/>
      <c r="I3" s="180" t="s">
        <v>52</v>
      </c>
      <c r="J3" s="262">
        <f>Budget!J4</f>
        <v>0</v>
      </c>
      <c r="K3" s="262"/>
      <c r="L3" s="262"/>
      <c r="M3" s="262"/>
      <c r="N3" s="262"/>
      <c r="O3" s="263">
        <f>Budget!O4</f>
        <v>0</v>
      </c>
      <c r="P3" s="12">
        <f>IF(DAY(J3)&gt;1,(P2-1+((DAY(DATE(YEAR(J3),MONTH(J3)+1,0))-DAY(J3))/DAY(DATE(YEAR(J3),MONTH(J3)+1,0)))),P2)</f>
        <v>6</v>
      </c>
      <c r="R3" s="12" t="s">
        <v>127</v>
      </c>
      <c r="S3" s="12"/>
      <c r="T3" s="127" t="s">
        <v>154</v>
      </c>
      <c r="U3" s="309"/>
      <c r="V3" s="310"/>
      <c r="W3" s="170" t="s">
        <v>167</v>
      </c>
    </row>
    <row r="4" spans="1:23" x14ac:dyDescent="0.25">
      <c r="A4" s="416" t="s">
        <v>156</v>
      </c>
      <c r="B4" s="416"/>
      <c r="C4" s="416"/>
      <c r="D4" s="416"/>
      <c r="E4" s="416"/>
      <c r="F4" s="416"/>
      <c r="G4" s="416"/>
      <c r="I4" s="181"/>
      <c r="J4" s="175" t="s">
        <v>80</v>
      </c>
      <c r="K4" s="175"/>
      <c r="L4" s="175"/>
      <c r="M4" s="175"/>
      <c r="N4" s="175"/>
      <c r="O4" s="41" t="s">
        <v>14</v>
      </c>
      <c r="P4" s="12">
        <f>IF(O3-J3&lt;366, P3/((YEAR(O3)-YEAR(J3))*12+MONTH(O3)-MONTH(J3)+1),0)</f>
        <v>6</v>
      </c>
      <c r="R4" s="12" t="s">
        <v>128</v>
      </c>
      <c r="S4" s="12"/>
      <c r="T4" s="175" t="s">
        <v>81</v>
      </c>
      <c r="U4" s="175" t="s">
        <v>82</v>
      </c>
      <c r="V4" s="175" t="s">
        <v>86</v>
      </c>
    </row>
    <row r="5" spans="1:23" s="175" customFormat="1" x14ac:dyDescent="0.25">
      <c r="B5" s="182" t="s">
        <v>6</v>
      </c>
      <c r="C5" s="183" t="s">
        <v>5</v>
      </c>
      <c r="D5" s="183" t="s">
        <v>7</v>
      </c>
      <c r="E5" s="183" t="s">
        <v>8</v>
      </c>
      <c r="F5" s="183" t="s">
        <v>9</v>
      </c>
      <c r="G5" s="183" t="s">
        <v>10</v>
      </c>
      <c r="I5" s="184"/>
      <c r="J5" s="185">
        <f>YEARFRAC(J3, O3)</f>
        <v>0</v>
      </c>
      <c r="K5" s="185"/>
      <c r="L5" s="185"/>
      <c r="M5" s="185"/>
      <c r="N5" s="185"/>
      <c r="O5" s="264">
        <v>0</v>
      </c>
      <c r="T5" s="175" t="s">
        <v>51</v>
      </c>
      <c r="U5" s="175" t="s">
        <v>83</v>
      </c>
      <c r="V5" s="175" t="s">
        <v>126</v>
      </c>
    </row>
    <row r="6" spans="1:23" s="173" customFormat="1" x14ac:dyDescent="0.25">
      <c r="A6" s="178" t="s">
        <v>3</v>
      </c>
      <c r="B6" s="186"/>
      <c r="C6" s="186"/>
      <c r="D6" s="186"/>
      <c r="E6" s="186"/>
      <c r="F6" s="186"/>
      <c r="G6" s="186"/>
      <c r="I6" s="181"/>
      <c r="J6" s="175" t="s">
        <v>6</v>
      </c>
      <c r="K6" s="175" t="s">
        <v>5</v>
      </c>
      <c r="L6" s="175" t="s">
        <v>7</v>
      </c>
      <c r="M6" s="175" t="s">
        <v>8</v>
      </c>
      <c r="N6" s="175" t="s">
        <v>9</v>
      </c>
      <c r="O6" s="10"/>
      <c r="T6" s="187"/>
      <c r="U6" s="175"/>
      <c r="V6" s="175"/>
    </row>
    <row r="7" spans="1:23" outlineLevel="1" x14ac:dyDescent="0.25">
      <c r="A7" s="188" t="s">
        <v>84</v>
      </c>
      <c r="B7" s="47"/>
      <c r="C7" s="189"/>
      <c r="D7" s="189"/>
      <c r="E7" s="189"/>
      <c r="F7" s="189"/>
      <c r="G7" s="186"/>
      <c r="I7" s="190" t="s">
        <v>132</v>
      </c>
      <c r="J7" s="175">
        <f>IF(U11="F",J8*12,SUM(J9*9,J10))</f>
        <v>0</v>
      </c>
      <c r="K7" s="175">
        <f>IF(U11="F",K8*12,SUM(K9*9,K10))</f>
        <v>0</v>
      </c>
      <c r="L7" s="175">
        <f>IF(U11="F",L8*12,SUM(L9*9,L10))</f>
        <v>0</v>
      </c>
      <c r="M7" s="175">
        <f>IF(U11="F",M8*12,SUM(M9*9,M10))</f>
        <v>0</v>
      </c>
      <c r="N7" s="175">
        <f>IF(U11="F",N8*12,SUM(N9*9,N10))</f>
        <v>0</v>
      </c>
      <c r="O7" s="41" t="s">
        <v>51</v>
      </c>
      <c r="P7" s="134" t="s">
        <v>130</v>
      </c>
      <c r="Q7" s="134" t="s">
        <v>131</v>
      </c>
      <c r="R7" s="11"/>
      <c r="S7" s="12"/>
      <c r="T7" s="191"/>
      <c r="U7" s="82"/>
      <c r="V7" s="82"/>
    </row>
    <row r="8" spans="1:23" outlineLevel="1" x14ac:dyDescent="0.25">
      <c r="A8" s="192" t="e">
        <f>ROUND(P8*100, 2)&amp;"% Avg. Fiscal Effort, "&amp;ROUND(Q8, 2)&amp;" Avg. Calendar Months"</f>
        <v>#DIV/0!</v>
      </c>
      <c r="B8" s="47">
        <f>O8*J8</f>
        <v>0</v>
      </c>
      <c r="C8" s="47">
        <f>IF($J$5&gt;1,IF($U$2&lt;&gt;0,IF(O8*(1+$O$5)&lt;=$U$2,O8*K8*(1+$O$5),$U$2*K8),O8*K8*(1+$O$5)),0)</f>
        <v>0</v>
      </c>
      <c r="D8" s="47">
        <f>IF($J$5&gt;2,IF($U$2&lt;&gt;0,IF(O8*(1+$O$5)^2&lt;=$U$2,O8*L8*(1+$O$5)^2,$U$2*L8),O8*L8*(1+$O$5)^2),0)</f>
        <v>0</v>
      </c>
      <c r="E8" s="47">
        <f>IF($J$5&gt;3,IF($U$2&lt;&gt;0,IF(O8*(1+$O$5)^3&lt;=$U$2,O8*M8*(1+$O$5)^3,$U$2*M8),O8*M8*(1+$O$5)^3),0)</f>
        <v>0</v>
      </c>
      <c r="F8" s="47">
        <f>IF($J$5&gt;4,IF($U$2&lt;&gt;0,IF(O8*(1+$O$5)^4&lt;=$U$2,O8*N8*(1+$O$5)^4,$U$2*N8),O8*N8*(1+$O$5)^4),0)</f>
        <v>0</v>
      </c>
      <c r="G8" s="186">
        <f>SUM(B8:F8)</f>
        <v>0</v>
      </c>
      <c r="H8" s="193"/>
      <c r="I8" s="190" t="s">
        <v>26</v>
      </c>
      <c r="J8" s="265">
        <v>0</v>
      </c>
      <c r="K8" s="265">
        <f>IF($J$5&gt;1,J8,0)</f>
        <v>0</v>
      </c>
      <c r="L8" s="265">
        <f>IF($J$5&gt;2,K8,0)</f>
        <v>0</v>
      </c>
      <c r="M8" s="265">
        <f>IF($J$5&gt;3,L8,0)</f>
        <v>0</v>
      </c>
      <c r="N8" s="265">
        <f>IF($J$5&gt;4,M8,0)</f>
        <v>0</v>
      </c>
      <c r="O8" s="128">
        <f>IF(U11="F",IF($U$2&lt;&gt;0,IF(T11&gt;$U$2,$U$2,T11),T11),0)</f>
        <v>0</v>
      </c>
      <c r="P8" s="138" t="e">
        <f>SUM(J7:N7)/(ROUNDUP($J$5,0)*12)</f>
        <v>#DIV/0!</v>
      </c>
      <c r="Q8" s="137" t="e">
        <f>(SUM(J7:N7)/(CEILING($J$5*12,12)))*12</f>
        <v>#DIV/0!</v>
      </c>
      <c r="R8" s="12"/>
      <c r="S8" s="12"/>
      <c r="T8" s="191"/>
      <c r="U8" s="82"/>
      <c r="V8" s="82"/>
    </row>
    <row r="9" spans="1:23" outlineLevel="1" x14ac:dyDescent="0.25">
      <c r="A9" s="411" t="e">
        <f>ROUND(P8*100,2)&amp;"% Annualized Effort, "&amp;ROUND(Q9,2)&amp;" Avg. Academic Months
"&amp;IF(SUM(J10:N10)&gt;0," and "&amp;Q10 &amp;" Avg. Summer Months", "")</f>
        <v>#DIV/0!</v>
      </c>
      <c r="B9" s="47">
        <f>J9*O9</f>
        <v>0</v>
      </c>
      <c r="C9" s="47">
        <f>IF($J$5&gt;1,IF($U$2&lt;&gt;0,IF(O9*(1+$O$5)&lt;=$U$2*0.75,O9*K9*(1+$O$5),$U$2*0.75*K9),O9*K9*(1+$O$5)),0)</f>
        <v>0</v>
      </c>
      <c r="D9" s="47">
        <f>IF($J$5&gt;2,IF($U$2&lt;&gt;0,IF(O9*(1+$O$5)^2&lt;=$U$2*0.75,O9*L9*(1+$O$5)^2,$U$2*0.75*L9),O9*L9*(1+$O$5)^2),0)</f>
        <v>0</v>
      </c>
      <c r="E9" s="47">
        <f>IF($J$5&gt;3,IF($U$2&lt;&gt;0,IF(O9*(1+$O$5)^3&lt;=$U$2*0.75,O9*M9*(1+$O$5)^3,$U$2*0.75*M9),O9*M9*(1+$O$5)^3),0)</f>
        <v>0</v>
      </c>
      <c r="F9" s="47">
        <f>IF($J$5&gt;4,IF($U$2&lt;&gt;0,IF(O9*(1+$O$5)^4&lt;=$U$2*0.75,O9*N9*(1+$O$5)^4,$U$2*0.75*N9),O9*N9*(1+$O$5)^4),0)</f>
        <v>0</v>
      </c>
      <c r="G9" s="186">
        <f>SUM(B9:F9)</f>
        <v>0</v>
      </c>
      <c r="H9" s="193"/>
      <c r="I9" s="190" t="s">
        <v>15</v>
      </c>
      <c r="J9" s="265">
        <v>0</v>
      </c>
      <c r="K9" s="265">
        <f t="shared" ref="K9:K10" si="0">IF($J$5&gt;1,J9,0)</f>
        <v>0</v>
      </c>
      <c r="L9" s="265">
        <f t="shared" ref="L9:L10" si="1">IF($J$5&gt;2,K9,0)</f>
        <v>0</v>
      </c>
      <c r="M9" s="265">
        <f t="shared" ref="M9:M10" si="2">IF($J$5&gt;3,L9,0)</f>
        <v>0</v>
      </c>
      <c r="N9" s="265">
        <f t="shared" ref="N9:N10" si="3">IF($J$5&gt;4,M9,0)</f>
        <v>0</v>
      </c>
      <c r="O9" s="128">
        <f>IF(U11="A",IF($U$2&lt;&gt;0,IF(T11&gt;($U$2/12*9),($U$2/12*9),T11),T11),0)</f>
        <v>0</v>
      </c>
      <c r="P9" s="194"/>
      <c r="Q9" s="137" t="e">
        <f>((SUM(J7:N7)-SUM(J10:N10))/(CEILING($J$5*9,9)))*9</f>
        <v>#DIV/0!</v>
      </c>
      <c r="R9" s="12"/>
      <c r="S9" s="12"/>
      <c r="T9" s="191"/>
      <c r="U9" s="82"/>
      <c r="V9" s="82"/>
    </row>
    <row r="10" spans="1:23" outlineLevel="1" x14ac:dyDescent="0.25">
      <c r="A10" s="411"/>
      <c r="B10" s="47">
        <f>J10/3*O10</f>
        <v>0</v>
      </c>
      <c r="C10" s="47">
        <f>IF($J$5&gt;1,IF($U$2&lt;&gt;0,IF(O10*(1+$O$5)&lt;=$U$2*0.25,O10*K10/3*(1+$O$5),$U$2*0.25*K10/3),O10*K10/3*(1+$O$5)),0)</f>
        <v>0</v>
      </c>
      <c r="D10" s="47">
        <f>IF($J$5&gt;2,IF($U$2&lt;&gt;0,IF(O10*(1+$O$5)^2&lt;=$U$2*0.25,O10*L10/3*(1+$O$5)^2,$U$2*0.25*L10/3),O10*L10/3*(1+$O$5)^2),0)</f>
        <v>0</v>
      </c>
      <c r="E10" s="47">
        <f>IF($J$5&gt;3,IF($U$2&lt;&gt;0,IF(O10*(1+$O$5)^3&lt;=$U$2*0.25,O10*M10/3*(1+$O$5)^3,$U$2*0.25*M10/3),O10*M10/3*(1+$O$5)^3),0)</f>
        <v>0</v>
      </c>
      <c r="F10" s="47">
        <f>IF($J$5&gt;4,IF($U$2&lt;&gt;0,IF(O10*(1+$O$5)^4&lt;=$U$2*0.25,O10*N10/3*(1+$O$5)^4,$U$2*0.25*N10/3),O10*N10/3*(1+$O$5)^4),0)</f>
        <v>0</v>
      </c>
      <c r="G10" s="186">
        <f>SUM(B10:F10)</f>
        <v>0</v>
      </c>
      <c r="H10" s="193"/>
      <c r="I10" s="190" t="s">
        <v>17</v>
      </c>
      <c r="J10" s="266">
        <v>0</v>
      </c>
      <c r="K10" s="266">
        <f t="shared" si="0"/>
        <v>0</v>
      </c>
      <c r="L10" s="266">
        <f t="shared" si="1"/>
        <v>0</v>
      </c>
      <c r="M10" s="266">
        <f t="shared" si="2"/>
        <v>0</v>
      </c>
      <c r="N10" s="266">
        <f t="shared" si="3"/>
        <v>0</v>
      </c>
      <c r="O10" s="128">
        <f>IF(U11="A",IF($U$2&lt;&gt;0,IF(T11/9*3&gt;($U$2/12*3),($U$2/12*3),T11/9*3),T11/9*3),0)</f>
        <v>0</v>
      </c>
      <c r="P10" s="138"/>
      <c r="Q10" s="138" t="e">
        <f>((SUM(J7:N7)-SUM(J9:N9)*9)/(CEILING($J$5*3,3)))*3</f>
        <v>#DIV/0!</v>
      </c>
      <c r="R10" s="12"/>
      <c r="S10" s="12"/>
      <c r="T10" s="12"/>
      <c r="U10" s="82"/>
      <c r="V10" s="82"/>
    </row>
    <row r="11" spans="1:23" outlineLevel="1" x14ac:dyDescent="0.25">
      <c r="A11" s="195"/>
      <c r="B11" s="47"/>
      <c r="C11" s="47"/>
      <c r="D11" s="189"/>
      <c r="E11" s="189"/>
      <c r="F11" s="189"/>
      <c r="G11" s="196"/>
      <c r="H11" s="197"/>
      <c r="I11" s="190" t="s">
        <v>111</v>
      </c>
      <c r="J11" s="130">
        <f>SUM(B8:B10)*$V11</f>
        <v>0</v>
      </c>
      <c r="K11" s="130">
        <f t="shared" ref="K11:N11" si="4">SUM(C8:C10)*$V11</f>
        <v>0</v>
      </c>
      <c r="L11" s="130">
        <f t="shared" si="4"/>
        <v>0</v>
      </c>
      <c r="M11" s="130">
        <f t="shared" si="4"/>
        <v>0</v>
      </c>
      <c r="N11" s="130">
        <f t="shared" si="4"/>
        <v>0</v>
      </c>
      <c r="O11" s="129"/>
      <c r="P11" s="138"/>
      <c r="Q11" s="138"/>
      <c r="R11" s="12"/>
      <c r="S11" s="12"/>
      <c r="T11" s="327">
        <v>0</v>
      </c>
      <c r="U11" s="328"/>
      <c r="V11" s="198">
        <f>$J$79</f>
        <v>0</v>
      </c>
    </row>
    <row r="12" spans="1:23" outlineLevel="1" x14ac:dyDescent="0.25">
      <c r="A12" s="195"/>
      <c r="B12" s="47"/>
      <c r="C12" s="47"/>
      <c r="D12" s="189"/>
      <c r="E12" s="189"/>
      <c r="F12" s="189"/>
      <c r="G12" s="196"/>
      <c r="H12" s="197"/>
      <c r="I12" s="199"/>
      <c r="J12" s="79"/>
      <c r="K12" s="79"/>
      <c r="L12" s="79"/>
      <c r="M12" s="79"/>
      <c r="N12" s="79"/>
      <c r="O12" s="21"/>
      <c r="P12" s="138"/>
      <c r="Q12" s="138"/>
      <c r="R12" s="12"/>
      <c r="S12" s="12"/>
      <c r="T12" s="191"/>
      <c r="U12" s="82"/>
      <c r="V12" s="82"/>
    </row>
    <row r="13" spans="1:23" outlineLevel="1" x14ac:dyDescent="0.25">
      <c r="A13" s="188" t="s">
        <v>84</v>
      </c>
      <c r="B13" s="47"/>
      <c r="C13" s="189"/>
      <c r="D13" s="189"/>
      <c r="E13" s="189"/>
      <c r="F13" s="189"/>
      <c r="G13" s="186"/>
      <c r="I13" s="190" t="s">
        <v>132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1" t="s">
        <v>51</v>
      </c>
      <c r="P13" s="134" t="s">
        <v>130</v>
      </c>
      <c r="Q13" s="134" t="s">
        <v>131</v>
      </c>
      <c r="R13" s="11"/>
      <c r="S13" s="12"/>
      <c r="T13" s="191"/>
      <c r="U13" s="82"/>
      <c r="V13" s="82"/>
    </row>
    <row r="14" spans="1:23" ht="15.75" customHeight="1" outlineLevel="1" x14ac:dyDescent="0.25">
      <c r="A14" s="192" t="e">
        <f>ROUND(P14*100, 2)&amp;"% Avg. Fiscal Effort, "&amp;ROUND(Q14, 2)&amp;" Avg. Calendar Months"</f>
        <v>#DIV/0!</v>
      </c>
      <c r="B14" s="47">
        <f>O14*J14</f>
        <v>0</v>
      </c>
      <c r="C14" s="47">
        <f>IF($J$5&gt;1,IF($U$2&lt;&gt;0,IF(O14*(1+$O$5)&lt;=$U$2,O14*K14*(1+$O$5),$U$2*K14),O14*K14*(1+$O$5)),0)</f>
        <v>0</v>
      </c>
      <c r="D14" s="47">
        <f>IF($J$5&gt;2,IF($U$2&lt;&gt;0,IF(O14*(1+$O$5)^2&lt;=$U$2,O14*L14*(1+$O$5)^2,$U$2*L14),O14*L14*(1+$O$5)^2),0)</f>
        <v>0</v>
      </c>
      <c r="E14" s="47">
        <f>IF($J$5&gt;3,IF($U$2&lt;&gt;0,IF(O14*(1+$O$5)^3&lt;=$U$2,O14*M14*(1+$O$5)^3,$U$2*M14),O14*M14*(1+$O$5)^3),0)</f>
        <v>0</v>
      </c>
      <c r="F14" s="47">
        <f>IF($J$5&gt;4,IF($U$2&lt;&gt;0,IF(O14*(1+$O$5)^4&lt;=$U$2,O14*N14*(1+$O$5)^4,$U$2*N14),O14*N14*(1+$O$5)^4),0)</f>
        <v>0</v>
      </c>
      <c r="G14" s="186">
        <f>SUM(B14:F14)</f>
        <v>0</v>
      </c>
      <c r="H14" s="193"/>
      <c r="I14" s="190" t="s">
        <v>26</v>
      </c>
      <c r="J14" s="265">
        <v>0</v>
      </c>
      <c r="K14" s="265">
        <f>IF($J$5&gt;1,J14,0)</f>
        <v>0</v>
      </c>
      <c r="L14" s="265">
        <f>IF($J$5&gt;2,K14,0)</f>
        <v>0</v>
      </c>
      <c r="M14" s="265">
        <f>IF($J$5&gt;3,L14,0)</f>
        <v>0</v>
      </c>
      <c r="N14" s="265">
        <f>IF($J$5&gt;4,M14,0)</f>
        <v>0</v>
      </c>
      <c r="O14" s="128">
        <f>IF(U17="F",IF($U$2&lt;&gt;0,IF(T17&gt;$U$2,$U$2,T17),T17),0)</f>
        <v>0</v>
      </c>
      <c r="P14" s="138" t="e">
        <f>SUM(J13:N13)/(ROUNDUP($J$5,0)*12)</f>
        <v>#DIV/0!</v>
      </c>
      <c r="Q14" s="137" t="e">
        <f>(SUM(J13:N13)/(CEILING($J$5*12,12)))*12</f>
        <v>#DIV/0!</v>
      </c>
      <c r="R14" s="12"/>
      <c r="S14" s="12"/>
      <c r="T14" s="191"/>
      <c r="U14" s="82"/>
      <c r="V14" s="82"/>
    </row>
    <row r="15" spans="1:23" outlineLevel="1" x14ac:dyDescent="0.25">
      <c r="A15" s="411" t="e">
        <f>ROUND(P14*100,2)&amp;"% Annualized Effort, "&amp;ROUND(Q15,2)&amp;" Avg. Academic Months
"&amp;IF(SUM(J16:N16)&gt;0," and "&amp;Q16 &amp;" Avg. Summer Months", "")</f>
        <v>#DIV/0!</v>
      </c>
      <c r="B15" s="47">
        <f>J15*O15</f>
        <v>0</v>
      </c>
      <c r="C15" s="47">
        <f>IF($J$5&gt;1,IF($U$2&lt;&gt;0,IF(O15*(1+$O$5)&lt;=$U$2*0.75,O15*K15*(1+$O$5),$U$2*0.75*K15),O15*K15*(1+$O$5)),0)</f>
        <v>0</v>
      </c>
      <c r="D15" s="47">
        <f>IF($J$5&gt;2,IF($U$2&lt;&gt;0,IF(O15*(1+$O$5)^2&lt;=$U$2*0.75,O15*L15*(1+$O$5)^2,$U$2*0.75*L15),O15*L15*(1+$O$5)^2),0)</f>
        <v>0</v>
      </c>
      <c r="E15" s="47">
        <f>IF($J$5&gt;3,IF($U$2&lt;&gt;0,IF(O15*(1+$O$5)^3&lt;=$U$2*0.75,O15*M15*(1+$O$5)^3,$U$2*0.75*M15),O15*M15*(1+$O$5)^3),0)</f>
        <v>0</v>
      </c>
      <c r="F15" s="47">
        <f>IF($J$5&gt;4,IF($U$2&lt;&gt;0,IF(O15*(1+$O$5)^4&lt;=$U$2*0.75,O15*N15*(1+$O$5)^4,$U$2*0.75*N15),O15*N15*(1+$O$5)^4),0)</f>
        <v>0</v>
      </c>
      <c r="G15" s="186">
        <f>SUM(B15:F15)</f>
        <v>0</v>
      </c>
      <c r="H15" s="193"/>
      <c r="I15" s="190" t="s">
        <v>15</v>
      </c>
      <c r="J15" s="265">
        <v>0</v>
      </c>
      <c r="K15" s="265">
        <f t="shared" ref="K15:K16" si="5">IF($J$5&gt;1,J15,0)</f>
        <v>0</v>
      </c>
      <c r="L15" s="265">
        <f t="shared" ref="L15:L16" si="6">IF($J$5&gt;2,K15,0)</f>
        <v>0</v>
      </c>
      <c r="M15" s="265">
        <f t="shared" ref="M15:M16" si="7">IF($J$5&gt;3,L15,0)</f>
        <v>0</v>
      </c>
      <c r="N15" s="265">
        <f t="shared" ref="N15:N16" si="8">IF($J$5&gt;4,M15,0)</f>
        <v>0</v>
      </c>
      <c r="O15" s="128">
        <f>IF(U17="A",IF($U$2&lt;&gt;0,IF(T17&gt;($U$2/12*9),($U$2/12*9),T17),T17),0)</f>
        <v>0</v>
      </c>
      <c r="P15" s="194"/>
      <c r="Q15" s="137" t="e">
        <f>((SUM(J13:N13)-SUM(J16:N16))/(CEILING($J$5*9,9)))*9</f>
        <v>#DIV/0!</v>
      </c>
      <c r="R15" s="12"/>
      <c r="S15" s="12"/>
      <c r="T15" s="191"/>
      <c r="U15" s="82"/>
      <c r="V15" s="82"/>
    </row>
    <row r="16" spans="1:23" outlineLevel="1" x14ac:dyDescent="0.25">
      <c r="A16" s="411"/>
      <c r="B16" s="47">
        <f>J16/3*O16</f>
        <v>0</v>
      </c>
      <c r="C16" s="47">
        <f>IF($J$5&gt;1,IF($U$2&lt;&gt;0,IF(O16*(1+$O$5)&lt;=$U$2*0.25,O16*K16/3*(1+$O$5),$U$2*0.25*K16/3),O16*K16/3*(1+$O$5)),0)</f>
        <v>0</v>
      </c>
      <c r="D16" s="47">
        <f>IF($J$5&gt;2,IF($U$2&lt;&gt;0,IF(O16*(1+$O$5)^2&lt;=$U$2*0.25,O16*L16/3*(1+$O$5)^2,$U$2*0.25*L16/3),O16*L16/3*(1+$O$5)^2),0)</f>
        <v>0</v>
      </c>
      <c r="E16" s="47">
        <f>IF($J$5&gt;3,IF($U$2&lt;&gt;0,IF(O16*(1+$O$5)^3&lt;=$U$2*0.25,O16*M16/3*(1+$O$5)^3,$U$2*0.25*M16/3),O16*M16/3*(1+$O$5)^3),0)</f>
        <v>0</v>
      </c>
      <c r="F16" s="47">
        <f>IF($J$5&gt;4,IF($U$2&lt;&gt;0,IF(O16*(1+$O$5)^4&lt;=$U$2*0.25,O16*N16/3*(1+$O$5)^4,$U$2*0.25*N16/3),O16*N16/3*(1+$O$5)^4),0)</f>
        <v>0</v>
      </c>
      <c r="G16" s="186">
        <f>SUM(B16:F16)</f>
        <v>0</v>
      </c>
      <c r="H16" s="193"/>
      <c r="I16" s="190" t="s">
        <v>17</v>
      </c>
      <c r="J16" s="266">
        <v>0</v>
      </c>
      <c r="K16" s="266">
        <f t="shared" si="5"/>
        <v>0</v>
      </c>
      <c r="L16" s="266">
        <f t="shared" si="6"/>
        <v>0</v>
      </c>
      <c r="M16" s="266">
        <f t="shared" si="7"/>
        <v>0</v>
      </c>
      <c r="N16" s="266">
        <f t="shared" si="8"/>
        <v>0</v>
      </c>
      <c r="O16" s="128">
        <f>IF(U17="A",IF($U$2&lt;&gt;0,IF(T17/9*3&gt;($U$2/12*3),($U$2/12*3),T17/9*3),T17/9*3),0)</f>
        <v>0</v>
      </c>
      <c r="P16" s="138"/>
      <c r="Q16" s="138" t="e">
        <f>((SUM(J13:N13)-SUM(J15:N15)*9)/(CEILING($J$5*3,3)))*3</f>
        <v>#DIV/0!</v>
      </c>
      <c r="R16" s="12"/>
      <c r="S16" s="12"/>
      <c r="T16" s="12"/>
      <c r="U16" s="82"/>
      <c r="V16" s="82"/>
    </row>
    <row r="17" spans="1:22" outlineLevel="1" x14ac:dyDescent="0.25">
      <c r="A17" s="195"/>
      <c r="B17" s="47"/>
      <c r="C17" s="47"/>
      <c r="D17" s="189"/>
      <c r="E17" s="189"/>
      <c r="F17" s="189"/>
      <c r="G17" s="196"/>
      <c r="H17" s="197"/>
      <c r="I17" s="190" t="s">
        <v>111</v>
      </c>
      <c r="J17" s="130">
        <f>SUM(B14:B16)*$V17</f>
        <v>0</v>
      </c>
      <c r="K17" s="130">
        <f t="shared" ref="K17:N17" si="9">SUM(C14:C16)*$V17</f>
        <v>0</v>
      </c>
      <c r="L17" s="130">
        <f t="shared" si="9"/>
        <v>0</v>
      </c>
      <c r="M17" s="130">
        <f t="shared" si="9"/>
        <v>0</v>
      </c>
      <c r="N17" s="130">
        <f t="shared" si="9"/>
        <v>0</v>
      </c>
      <c r="O17" s="129"/>
      <c r="P17" s="138"/>
      <c r="Q17" s="138"/>
      <c r="R17" s="12"/>
      <c r="S17" s="12"/>
      <c r="T17" s="327">
        <v>0</v>
      </c>
      <c r="U17" s="328"/>
      <c r="V17" s="198">
        <f>$J$79</f>
        <v>0</v>
      </c>
    </row>
    <row r="18" spans="1:22" outlineLevel="1" x14ac:dyDescent="0.25">
      <c r="A18" s="195"/>
      <c r="B18" s="47"/>
      <c r="C18" s="47"/>
      <c r="D18" s="189"/>
      <c r="E18" s="189"/>
      <c r="F18" s="189"/>
      <c r="G18" s="196"/>
      <c r="H18" s="197"/>
      <c r="I18" s="199"/>
      <c r="J18" s="79"/>
      <c r="K18" s="79"/>
      <c r="L18" s="79"/>
      <c r="M18" s="79"/>
      <c r="N18" s="79"/>
      <c r="O18" s="21"/>
      <c r="P18" s="138"/>
      <c r="Q18" s="138"/>
      <c r="R18" s="12"/>
      <c r="S18" s="12"/>
      <c r="T18" s="191"/>
      <c r="U18" s="82"/>
      <c r="V18" s="82"/>
    </row>
    <row r="19" spans="1:22" outlineLevel="1" x14ac:dyDescent="0.25">
      <c r="A19" s="188" t="s">
        <v>84</v>
      </c>
      <c r="B19" s="47"/>
      <c r="C19" s="189"/>
      <c r="D19" s="189"/>
      <c r="E19" s="189"/>
      <c r="F19" s="189"/>
      <c r="G19" s="186"/>
      <c r="I19" s="190" t="s">
        <v>132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1" t="s">
        <v>51</v>
      </c>
      <c r="P19" s="134" t="s">
        <v>130</v>
      </c>
      <c r="Q19" s="134" t="s">
        <v>131</v>
      </c>
      <c r="R19" s="11"/>
      <c r="S19" s="12"/>
      <c r="T19" s="191"/>
      <c r="U19" s="82"/>
      <c r="V19" s="82"/>
    </row>
    <row r="20" spans="1:22" outlineLevel="1" x14ac:dyDescent="0.25">
      <c r="A20" s="192" t="e">
        <f>ROUND(P20*100, 2)&amp;"% Avg. Fiscal Effort, "&amp;ROUND(Q20, 2)&amp;" Avg. Calendar Months"</f>
        <v>#DIV/0!</v>
      </c>
      <c r="B20" s="47">
        <f>O20*J20</f>
        <v>0</v>
      </c>
      <c r="C20" s="47">
        <f>IF($J$5&gt;1,IF($U$2&lt;&gt;0,IF(O20*(1+$O$5)&lt;=$U$2,O20*K20*(1+$O$5),$U$2*K20),O20*K20*(1+$O$5)),0)</f>
        <v>0</v>
      </c>
      <c r="D20" s="47">
        <f>IF($J$5&gt;2,IF($U$2&lt;&gt;0,IF(O20*(1+$O$5)^2&lt;=$U$2,O20*L20*(1+$O$5)^2,$U$2*L20),O20*L20*(1+$O$5)^2),0)</f>
        <v>0</v>
      </c>
      <c r="E20" s="47">
        <f>IF($J$5&gt;3,IF($U$2&lt;&gt;0,IF(O20*(1+$O$5)^3&lt;=$U$2,O20*M20*(1+$O$5)^3,$U$2*M20),O20*M20*(1+$O$5)^3),0)</f>
        <v>0</v>
      </c>
      <c r="F20" s="47">
        <f>IF($J$5&gt;4,IF($U$2&lt;&gt;0,IF(O20*(1+$O$5)^4&lt;=$U$2,O20*N20*(1+$O$5)^4,$U$2*N20),O20*N20*(1+$O$5)^4),0)</f>
        <v>0</v>
      </c>
      <c r="G20" s="186">
        <f>SUM(B20:F20)</f>
        <v>0</v>
      </c>
      <c r="H20" s="193"/>
      <c r="I20" s="190" t="s">
        <v>26</v>
      </c>
      <c r="J20" s="265">
        <v>0</v>
      </c>
      <c r="K20" s="265">
        <f>IF($J$5&gt;1,J20,0)</f>
        <v>0</v>
      </c>
      <c r="L20" s="265">
        <f>IF($J$5&gt;2,K20,0)</f>
        <v>0</v>
      </c>
      <c r="M20" s="265">
        <f>IF($J$5&gt;3,L20,0)</f>
        <v>0</v>
      </c>
      <c r="N20" s="265">
        <f>IF($J$5&gt;4,M20,0)</f>
        <v>0</v>
      </c>
      <c r="O20" s="128">
        <f>IF(U23="F",IF($U$2&lt;&gt;0,IF(T23&gt;$U$2,$U$2,T23),T23),0)</f>
        <v>0</v>
      </c>
      <c r="P20" s="138" t="e">
        <f>SUM(J19:N19)/(ROUNDUP($J$5,0)*12)</f>
        <v>#DIV/0!</v>
      </c>
      <c r="Q20" s="137" t="e">
        <f>(SUM(J19:N19)/(CEILING($J$5*12,12)))*12</f>
        <v>#DIV/0!</v>
      </c>
      <c r="R20" s="12"/>
      <c r="S20" s="12"/>
      <c r="T20" s="191"/>
      <c r="U20" s="82"/>
      <c r="V20" s="82"/>
    </row>
    <row r="21" spans="1:22" outlineLevel="1" x14ac:dyDescent="0.25">
      <c r="A21" s="411" t="e">
        <f>ROUND(P20*100,2)&amp;"% Annualized Effort, "&amp;ROUND(Q21,2)&amp;" Avg. Academic Months
"&amp;IF(SUM(J22:N22)&gt;0," and "&amp;Q22 &amp;" Avg. Summer Months", "")</f>
        <v>#DIV/0!</v>
      </c>
      <c r="B21" s="47">
        <f>J21*O21</f>
        <v>0</v>
      </c>
      <c r="C21" s="47">
        <f>IF($J$5&gt;1,IF($U$2&lt;&gt;0,IF(O21*(1+$O$5)&lt;=$U$2*0.75,O21*K21*(1+$O$5),$U$2*0.75*K21),O21*K21*(1+$O$5)),0)</f>
        <v>0</v>
      </c>
      <c r="D21" s="47">
        <f>IF($J$5&gt;2,IF($U$2&lt;&gt;0,IF(O21*(1+$O$5)^2&lt;=$U$2*0.75,O21*L21*(1+$O$5)^2,$U$2*0.75*L21),O21*L21*(1+$O$5)^2),0)</f>
        <v>0</v>
      </c>
      <c r="E21" s="47">
        <f>IF($J$5&gt;3,IF($U$2&lt;&gt;0,IF(O21*(1+$O$5)^3&lt;=$U$2*0.75,O21*M21*(1+$O$5)^3,$U$2*0.75*M21),O21*M21*(1+$O$5)^3),0)</f>
        <v>0</v>
      </c>
      <c r="F21" s="47">
        <f>IF($J$5&gt;4,IF($U$2&lt;&gt;0,IF(O21*(1+$O$5)^4&lt;=$U$2*0.75,O21*N21*(1+$O$5)^4,$U$2*0.75*N21),O21*N21*(1+$O$5)^4),0)</f>
        <v>0</v>
      </c>
      <c r="G21" s="186">
        <f>SUM(B21:F21)</f>
        <v>0</v>
      </c>
      <c r="H21" s="193"/>
      <c r="I21" s="190" t="s">
        <v>15</v>
      </c>
      <c r="J21" s="265">
        <v>0</v>
      </c>
      <c r="K21" s="265">
        <f t="shared" ref="K21:K22" si="10">IF($J$5&gt;1,J21,0)</f>
        <v>0</v>
      </c>
      <c r="L21" s="265">
        <f t="shared" ref="L21:L22" si="11">IF($J$5&gt;2,K21,0)</f>
        <v>0</v>
      </c>
      <c r="M21" s="265">
        <f t="shared" ref="M21:M22" si="12">IF($J$5&gt;3,L21,0)</f>
        <v>0</v>
      </c>
      <c r="N21" s="265">
        <f t="shared" ref="N21:N22" si="13">IF($J$5&gt;4,M21,0)</f>
        <v>0</v>
      </c>
      <c r="O21" s="128">
        <f>IF(U23="A",IF($U$2&lt;&gt;0,IF(T23&gt;($U$2/12*9),($U$2/12*9),T23),T23),0)</f>
        <v>0</v>
      </c>
      <c r="P21" s="194"/>
      <c r="Q21" s="137" t="e">
        <f>((SUM(J19:N19)-SUM(J22:N22))/(CEILING($J$5*9,9)))*9</f>
        <v>#DIV/0!</v>
      </c>
      <c r="R21" s="12"/>
      <c r="S21" s="12"/>
      <c r="T21" s="191"/>
      <c r="U21" s="82"/>
      <c r="V21" s="82"/>
    </row>
    <row r="22" spans="1:22" outlineLevel="1" x14ac:dyDescent="0.25">
      <c r="A22" s="411"/>
      <c r="B22" s="47">
        <f>J22/3*O22</f>
        <v>0</v>
      </c>
      <c r="C22" s="47">
        <f>IF($J$5&gt;1,IF($U$2&lt;&gt;0,IF(O22*(1+$O$5)&lt;=$U$2*0.25,O22*K22/3*(1+$O$5),$U$2*0.25*K22/3),O22*K22/3*(1+$O$5)),0)</f>
        <v>0</v>
      </c>
      <c r="D22" s="47">
        <f>IF($J$5&gt;2,IF($U$2&lt;&gt;0,IF(O22*(1+$O$5)^2&lt;=$U$2*0.25,O22*L22/3*(1+$O$5)^2,$U$2*0.25*L22/3),O22*L22/3*(1+$O$5)^2),0)</f>
        <v>0</v>
      </c>
      <c r="E22" s="47">
        <f>IF($J$5&gt;3,IF($U$2&lt;&gt;0,IF(O22*(1+$O$5)^3&lt;=$U$2*0.25,O22*M22/3*(1+$O$5)^3,$U$2*0.25*M22/3),O22*M22/3*(1+$O$5)^3),0)</f>
        <v>0</v>
      </c>
      <c r="F22" s="47">
        <f>IF($J$5&gt;4,IF($U$2&lt;&gt;0,IF(O22*(1+$O$5)^4&lt;=$U$2*0.25,O22*N22/3*(1+$O$5)^4,$U$2*0.25*N22/3),O22*N22/3*(1+$O$5)^4),0)</f>
        <v>0</v>
      </c>
      <c r="G22" s="186">
        <f>SUM(B22:F22)</f>
        <v>0</v>
      </c>
      <c r="H22" s="193"/>
      <c r="I22" s="190" t="s">
        <v>17</v>
      </c>
      <c r="J22" s="266">
        <v>0</v>
      </c>
      <c r="K22" s="266">
        <f t="shared" si="10"/>
        <v>0</v>
      </c>
      <c r="L22" s="266">
        <f t="shared" si="11"/>
        <v>0</v>
      </c>
      <c r="M22" s="266">
        <f t="shared" si="12"/>
        <v>0</v>
      </c>
      <c r="N22" s="266">
        <f t="shared" si="13"/>
        <v>0</v>
      </c>
      <c r="O22" s="128">
        <f>IF(U23="A",IF($U$2&lt;&gt;0,IF(T23/9*3&gt;($U$2/12*3),($U$2/12*3),T23/9*3),T23/9*3),0)</f>
        <v>0</v>
      </c>
      <c r="P22" s="138"/>
      <c r="Q22" s="138" t="e">
        <f>((SUM(J19:N19)-SUM(J21:N21)*9)/(CEILING($J$5*3,3)))*3</f>
        <v>#DIV/0!</v>
      </c>
      <c r="R22" s="12"/>
      <c r="S22" s="12"/>
      <c r="T22" s="12"/>
      <c r="U22" s="82"/>
      <c r="V22" s="82"/>
    </row>
    <row r="23" spans="1:22" outlineLevel="1" x14ac:dyDescent="0.25">
      <c r="A23" s="195"/>
      <c r="B23" s="47"/>
      <c r="C23" s="47"/>
      <c r="D23" s="189"/>
      <c r="E23" s="189"/>
      <c r="F23" s="189"/>
      <c r="G23" s="196"/>
      <c r="H23" s="197"/>
      <c r="I23" s="190" t="s">
        <v>111</v>
      </c>
      <c r="J23" s="130">
        <f>SUM(B20:B22)*$V23</f>
        <v>0</v>
      </c>
      <c r="K23" s="130">
        <f t="shared" ref="K23:N23" si="14">SUM(C20:C22)*$V23</f>
        <v>0</v>
      </c>
      <c r="L23" s="130">
        <f t="shared" si="14"/>
        <v>0</v>
      </c>
      <c r="M23" s="130">
        <f t="shared" si="14"/>
        <v>0</v>
      </c>
      <c r="N23" s="130">
        <f t="shared" si="14"/>
        <v>0</v>
      </c>
      <c r="O23" s="129"/>
      <c r="P23" s="138"/>
      <c r="Q23" s="138"/>
      <c r="R23" s="12"/>
      <c r="S23" s="12"/>
      <c r="T23" s="327">
        <v>0</v>
      </c>
      <c r="U23" s="328"/>
      <c r="V23" s="198">
        <f>$J$79</f>
        <v>0</v>
      </c>
    </row>
    <row r="24" spans="1:22" outlineLevel="1" x14ac:dyDescent="0.25">
      <c r="A24" s="195"/>
      <c r="B24" s="47"/>
      <c r="C24" s="47"/>
      <c r="D24" s="189"/>
      <c r="E24" s="189"/>
      <c r="F24" s="189"/>
      <c r="G24" s="196"/>
      <c r="H24" s="197"/>
      <c r="I24" s="199"/>
      <c r="J24" s="79"/>
      <c r="K24" s="79"/>
      <c r="L24" s="79"/>
      <c r="M24" s="79"/>
      <c r="N24" s="79"/>
      <c r="O24" s="21"/>
      <c r="P24" s="138"/>
      <c r="Q24" s="138"/>
      <c r="R24" s="12"/>
      <c r="S24" s="12"/>
      <c r="T24" s="191"/>
      <c r="U24" s="82"/>
      <c r="V24" s="82"/>
    </row>
    <row r="25" spans="1:22" outlineLevel="1" x14ac:dyDescent="0.25">
      <c r="A25" s="188" t="s">
        <v>84</v>
      </c>
      <c r="B25" s="47"/>
      <c r="C25" s="189"/>
      <c r="D25" s="189"/>
      <c r="E25" s="189"/>
      <c r="F25" s="189"/>
      <c r="G25" s="186"/>
      <c r="I25" s="190" t="s">
        <v>132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1" t="s">
        <v>51</v>
      </c>
      <c r="P25" s="134" t="s">
        <v>130</v>
      </c>
      <c r="Q25" s="134" t="s">
        <v>131</v>
      </c>
      <c r="R25" s="11"/>
      <c r="S25" s="12"/>
      <c r="T25" s="191"/>
      <c r="U25" s="82"/>
      <c r="V25" s="82"/>
    </row>
    <row r="26" spans="1:22" outlineLevel="1" x14ac:dyDescent="0.25">
      <c r="A26" s="192" t="e">
        <f>ROUND(P26*100, 2)&amp;"% Avg. Fiscal Effort, "&amp;ROUND(Q26, 2)&amp;" Avg. Calendar Months"</f>
        <v>#DIV/0!</v>
      </c>
      <c r="B26" s="47">
        <f>O26*J26</f>
        <v>0</v>
      </c>
      <c r="C26" s="47">
        <f>IF($J$5&gt;1,IF($U$2&lt;&gt;0,IF(O26*(1+$O$5)&lt;=$U$2,O26*K26*(1+$O$5),$U$2*K26),O26*K26*(1+$O$5)),0)</f>
        <v>0</v>
      </c>
      <c r="D26" s="47">
        <f>IF($J$5&gt;2,IF($U$2&lt;&gt;0,IF(O26*(1+$O$5)^2&lt;=$U$2,O26*L26*(1+$O$5)^2,$U$2*L26),O26*L26*(1+$O$5)^2),0)</f>
        <v>0</v>
      </c>
      <c r="E26" s="47">
        <f>IF($J$5&gt;3,IF($U$2&lt;&gt;0,IF(O26*(1+$O$5)^3&lt;=$U$2,O26*M26*(1+$O$5)^3,$U$2*M26),O26*M26*(1+$O$5)^3),0)</f>
        <v>0</v>
      </c>
      <c r="F26" s="47">
        <f>IF($J$5&gt;4,IF($U$2&lt;&gt;0,IF(O26*(1+$O$5)^4&lt;=$U$2,O26*N26*(1+$O$5)^4,$U$2*N26),O26*N26*(1+$O$5)^4),0)</f>
        <v>0</v>
      </c>
      <c r="G26" s="186">
        <f>SUM(B26:F26)</f>
        <v>0</v>
      </c>
      <c r="H26" s="193"/>
      <c r="I26" s="190" t="s">
        <v>26</v>
      </c>
      <c r="J26" s="265">
        <v>0</v>
      </c>
      <c r="K26" s="265">
        <f>IF($J$5&gt;1,J26,0)</f>
        <v>0</v>
      </c>
      <c r="L26" s="265">
        <f>IF($J$5&gt;2,K26,0)</f>
        <v>0</v>
      </c>
      <c r="M26" s="265">
        <f>IF($J$5&gt;3,L26,0)</f>
        <v>0</v>
      </c>
      <c r="N26" s="265">
        <f>IF($J$5&gt;4,M26,0)</f>
        <v>0</v>
      </c>
      <c r="O26" s="128">
        <f>IF(U29="F",IF($U$2&lt;&gt;0,IF(T29&gt;$U$2,$U$2,T29),T29),0)</f>
        <v>0</v>
      </c>
      <c r="P26" s="138" t="e">
        <f>SUM(J25:N25)/(ROUNDUP($J$5,0)*12)</f>
        <v>#DIV/0!</v>
      </c>
      <c r="Q26" s="137" t="e">
        <f>(SUM(J25:N25)/(CEILING($J$5*12,12)))*12</f>
        <v>#DIV/0!</v>
      </c>
      <c r="R26" s="12"/>
      <c r="S26" s="12"/>
      <c r="T26" s="191"/>
      <c r="U26" s="82"/>
      <c r="V26" s="82"/>
    </row>
    <row r="27" spans="1:22" outlineLevel="1" x14ac:dyDescent="0.25">
      <c r="A27" s="411" t="e">
        <f>ROUND(P26*100,2)&amp;"% Annualized Effort, "&amp;ROUND(Q27,2)&amp;" Avg. Academic Months
"&amp;IF(SUM(J28:N28)&gt;0," and "&amp;Q28 &amp;" Avg. Summer Months", "")</f>
        <v>#DIV/0!</v>
      </c>
      <c r="B27" s="47">
        <f>J27*O27</f>
        <v>0</v>
      </c>
      <c r="C27" s="47">
        <f>IF($J$5&gt;1,IF($U$2&lt;&gt;0,IF(O27*(1+$O$5)&lt;=$U$2*0.75,O27*K27*(1+$O$5),$U$2*0.75*K27),O27*K27*(1+$O$5)),0)</f>
        <v>0</v>
      </c>
      <c r="D27" s="47">
        <f>IF($J$5&gt;2,IF($U$2&lt;&gt;0,IF(O27*(1+$O$5)^2&lt;=$U$2*0.75,O27*L27*(1+$O$5)^2,$U$2*0.75*L27),O27*L27*(1+$O$5)^2),0)</f>
        <v>0</v>
      </c>
      <c r="E27" s="47">
        <f>IF($J$5&gt;3,IF($U$2&lt;&gt;0,IF(O27*(1+$O$5)^3&lt;=$U$2*0.75,O27*M27*(1+$O$5)^3,$U$2*0.75*M27),O27*M27*(1+$O$5)^3),0)</f>
        <v>0</v>
      </c>
      <c r="F27" s="47">
        <f>IF($J$5&gt;4,IF($U$2&lt;&gt;0,IF(O27*(1+$O$5)^4&lt;=$U$2*0.75,O27*N27*(1+$O$5)^4,$U$2*0.75*N27),O27*N27*(1+$O$5)^4),0)</f>
        <v>0</v>
      </c>
      <c r="G27" s="186">
        <f>SUM(B27:F27)</f>
        <v>0</v>
      </c>
      <c r="H27" s="193"/>
      <c r="I27" s="190" t="s">
        <v>15</v>
      </c>
      <c r="J27" s="265">
        <v>0</v>
      </c>
      <c r="K27" s="265">
        <f t="shared" ref="K27:K28" si="15">IF($J$5&gt;1,J27,0)</f>
        <v>0</v>
      </c>
      <c r="L27" s="265">
        <f t="shared" ref="L27:L28" si="16">IF($J$5&gt;2,K27,0)</f>
        <v>0</v>
      </c>
      <c r="M27" s="265">
        <f t="shared" ref="M27:M28" si="17">IF($J$5&gt;3,L27,0)</f>
        <v>0</v>
      </c>
      <c r="N27" s="265">
        <f t="shared" ref="N27:N28" si="18">IF($J$5&gt;4,M27,0)</f>
        <v>0</v>
      </c>
      <c r="O27" s="128">
        <f>IF(U29="A",IF($U$2&lt;&gt;0,IF(T29&gt;($U$2/12*9),($U$2/12*9),T29),T29),0)</f>
        <v>0</v>
      </c>
      <c r="P27" s="194"/>
      <c r="Q27" s="137" t="e">
        <f>((SUM(J25:N25)-SUM(J28:N28))/(CEILING($J$5*9,9)))*9</f>
        <v>#DIV/0!</v>
      </c>
      <c r="R27" s="12"/>
      <c r="S27" s="12"/>
      <c r="T27" s="191"/>
      <c r="U27" s="82"/>
      <c r="V27" s="82"/>
    </row>
    <row r="28" spans="1:22" outlineLevel="1" x14ac:dyDescent="0.25">
      <c r="A28" s="411"/>
      <c r="B28" s="47">
        <f>J28/3*O28</f>
        <v>0</v>
      </c>
      <c r="C28" s="47">
        <f>IF($J$5&gt;1,IF($U$2&lt;&gt;0,IF(O28*(1+$O$5)&lt;=$U$2*0.25,O28*K28/3*(1+$O$5),$U$2*0.25*K28/3),O28*K28/3*(1+$O$5)),0)</f>
        <v>0</v>
      </c>
      <c r="D28" s="47">
        <f>IF($J$5&gt;2,IF($U$2&lt;&gt;0,IF(O28*(1+$O$5)^2&lt;=$U$2*0.25,O28*L28/3*(1+$O$5)^2,$U$2*0.25*L28/3),O28*L28/3*(1+$O$5)^2),0)</f>
        <v>0</v>
      </c>
      <c r="E28" s="47">
        <f>IF($J$5&gt;3,IF($U$2&lt;&gt;0,IF(O28*(1+$O$5)^3&lt;=$U$2*0.25,O28*M28/3*(1+$O$5)^3,$U$2*0.25*M28/3),O28*M28/3*(1+$O$5)^3),0)</f>
        <v>0</v>
      </c>
      <c r="F28" s="47">
        <f>IF($J$5&gt;4,IF($U$2&lt;&gt;0,IF(O28*(1+$O$5)^4&lt;=$U$2*0.25,O28*N28/3*(1+$O$5)^4,$U$2*0.25*N28/3),O28*N28/3*(1+$O$5)^4),0)</f>
        <v>0</v>
      </c>
      <c r="G28" s="186">
        <f>SUM(B28:F28)</f>
        <v>0</v>
      </c>
      <c r="H28" s="193"/>
      <c r="I28" s="190" t="s">
        <v>17</v>
      </c>
      <c r="J28" s="266">
        <v>0</v>
      </c>
      <c r="K28" s="266">
        <f t="shared" si="15"/>
        <v>0</v>
      </c>
      <c r="L28" s="266">
        <f t="shared" si="16"/>
        <v>0</v>
      </c>
      <c r="M28" s="266">
        <f t="shared" si="17"/>
        <v>0</v>
      </c>
      <c r="N28" s="266">
        <f t="shared" si="18"/>
        <v>0</v>
      </c>
      <c r="O28" s="128">
        <f>IF(U29="A",IF($U$2&lt;&gt;0,IF(T29/9*3&gt;($U$2/12*3),($U$2/12*3),T29/9*3),T29/9*3),0)</f>
        <v>0</v>
      </c>
      <c r="P28" s="138"/>
      <c r="Q28" s="138" t="e">
        <f>((SUM(J25:N25)-SUM(J27:N27)*9)/(CEILING($J$5*3,3)))*3</f>
        <v>#DIV/0!</v>
      </c>
      <c r="R28" s="12"/>
      <c r="S28" s="12"/>
      <c r="T28" s="12"/>
      <c r="U28" s="82"/>
      <c r="V28" s="82"/>
    </row>
    <row r="29" spans="1:22" outlineLevel="1" x14ac:dyDescent="0.25">
      <c r="A29" s="195"/>
      <c r="B29" s="47"/>
      <c r="C29" s="47"/>
      <c r="D29" s="189"/>
      <c r="E29" s="189"/>
      <c r="F29" s="189"/>
      <c r="G29" s="196"/>
      <c r="H29" s="197"/>
      <c r="I29" s="190" t="s">
        <v>111</v>
      </c>
      <c r="J29" s="130">
        <f>SUM(B26:B28)*$V29</f>
        <v>0</v>
      </c>
      <c r="K29" s="130">
        <f t="shared" ref="K29:N29" si="19">SUM(C26:C28)*$V29</f>
        <v>0</v>
      </c>
      <c r="L29" s="130">
        <f t="shared" si="19"/>
        <v>0</v>
      </c>
      <c r="M29" s="130">
        <f t="shared" si="19"/>
        <v>0</v>
      </c>
      <c r="N29" s="130">
        <f t="shared" si="19"/>
        <v>0</v>
      </c>
      <c r="O29" s="129"/>
      <c r="P29" s="138"/>
      <c r="Q29" s="138"/>
      <c r="R29" s="12"/>
      <c r="S29" s="12"/>
      <c r="T29" s="327">
        <v>0</v>
      </c>
      <c r="U29" s="328"/>
      <c r="V29" s="198">
        <f>$J$79</f>
        <v>0</v>
      </c>
    </row>
    <row r="30" spans="1:22" outlineLevel="1" x14ac:dyDescent="0.25">
      <c r="A30" s="195"/>
      <c r="B30" s="47"/>
      <c r="C30" s="47"/>
      <c r="D30" s="189"/>
      <c r="E30" s="189"/>
      <c r="F30" s="189"/>
      <c r="G30" s="196"/>
      <c r="H30" s="197"/>
      <c r="I30" s="199"/>
      <c r="J30" s="79"/>
      <c r="K30" s="79"/>
      <c r="L30" s="79"/>
      <c r="M30" s="79"/>
      <c r="N30" s="79"/>
      <c r="O30" s="21"/>
      <c r="P30" s="138"/>
      <c r="Q30" s="138"/>
      <c r="R30" s="12"/>
      <c r="S30" s="12"/>
      <c r="T30" s="191"/>
      <c r="U30" s="82"/>
      <c r="V30" s="82"/>
    </row>
    <row r="31" spans="1:22" outlineLevel="1" x14ac:dyDescent="0.25">
      <c r="A31" s="188" t="s">
        <v>84</v>
      </c>
      <c r="B31" s="47"/>
      <c r="C31" s="189"/>
      <c r="D31" s="189"/>
      <c r="E31" s="189"/>
      <c r="F31" s="189"/>
      <c r="G31" s="186"/>
      <c r="I31" s="190" t="s">
        <v>132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1" t="s">
        <v>51</v>
      </c>
      <c r="P31" s="134" t="s">
        <v>130</v>
      </c>
      <c r="Q31" s="134" t="s">
        <v>131</v>
      </c>
      <c r="R31" s="11"/>
      <c r="S31" s="12"/>
      <c r="T31" s="191"/>
      <c r="U31" s="82"/>
      <c r="V31" s="82"/>
    </row>
    <row r="32" spans="1:22" outlineLevel="1" x14ac:dyDescent="0.25">
      <c r="A32" s="192" t="e">
        <f>ROUND(P32*100, 2)&amp;"% Avg. Fiscal Effort, "&amp;ROUND(Q32, 2)&amp;" Avg. Calendar Months"</f>
        <v>#DIV/0!</v>
      </c>
      <c r="B32" s="47">
        <f>O32*J32</f>
        <v>0</v>
      </c>
      <c r="C32" s="47">
        <f>IF($J$5&gt;1,IF($U$2&lt;&gt;0,IF(O32*(1+$O$5)&lt;=$U$2,O32*K32*(1+$O$5),$U$2*K32),O32*K32*(1+$O$5)),0)</f>
        <v>0</v>
      </c>
      <c r="D32" s="47">
        <f>IF($J$5&gt;2,IF($U$2&lt;&gt;0,IF(O32*(1+$O$5)^2&lt;=$U$2,O32*L32*(1+$O$5)^2,$U$2*L32),O32*L32*(1+$O$5)^2),0)</f>
        <v>0</v>
      </c>
      <c r="E32" s="47">
        <f>IF($J$5&gt;3,IF($U$2&lt;&gt;0,IF(O32*(1+$O$5)^3&lt;=$U$2,O32*M32*(1+$O$5)^3,$U$2*M32),O32*M32*(1+$O$5)^3),0)</f>
        <v>0</v>
      </c>
      <c r="F32" s="47">
        <f>IF($J$5&gt;4,IF($U$2&lt;&gt;0,IF(O32*(1+$O$5)^4&lt;=$U$2,O32*N32*(1+$O$5)^4,$U$2*N32),O32*N32*(1+$O$5)^4),0)</f>
        <v>0</v>
      </c>
      <c r="G32" s="186">
        <f>SUM(B32:F32)</f>
        <v>0</v>
      </c>
      <c r="H32" s="193"/>
      <c r="I32" s="190" t="s">
        <v>26</v>
      </c>
      <c r="J32" s="265">
        <v>0</v>
      </c>
      <c r="K32" s="265">
        <f>IF($J$5&gt;1,J32,0)</f>
        <v>0</v>
      </c>
      <c r="L32" s="265">
        <f>IF($J$5&gt;2,K32,0)</f>
        <v>0</v>
      </c>
      <c r="M32" s="265">
        <f>IF($J$5&gt;3,L32,0)</f>
        <v>0</v>
      </c>
      <c r="N32" s="265">
        <f>IF($J$5&gt;4,M32,0)</f>
        <v>0</v>
      </c>
      <c r="O32" s="128">
        <f>IF(U35="F",IF($U$2&lt;&gt;0,IF(T35&gt;$U$2,$U$2,T35),T35),0)</f>
        <v>0</v>
      </c>
      <c r="P32" s="138" t="e">
        <f>SUM(J31:N31)/(ROUNDUP($J$5,0)*12)</f>
        <v>#DIV/0!</v>
      </c>
      <c r="Q32" s="137" t="e">
        <f>(SUM(J31:N31)/(CEILING($J$5*12,12)))*12</f>
        <v>#DIV/0!</v>
      </c>
      <c r="R32" s="12"/>
      <c r="S32" s="12"/>
      <c r="T32" s="191"/>
      <c r="U32" s="82"/>
      <c r="V32" s="82"/>
    </row>
    <row r="33" spans="1:22" outlineLevel="1" x14ac:dyDescent="0.25">
      <c r="A33" s="411" t="e">
        <f>ROUND(P32*100,2)&amp;"% Annualized Effort, "&amp;ROUND(Q33,2)&amp;" Avg. Academic Months
"&amp;IF(SUM(J34:N34)&gt;0," and "&amp;Q34 &amp;" Avg. Summer Months", "")</f>
        <v>#DIV/0!</v>
      </c>
      <c r="B33" s="47">
        <f>J33*O33</f>
        <v>0</v>
      </c>
      <c r="C33" s="47">
        <f>IF($J$5&gt;1,IF($U$2&lt;&gt;0,IF(O33*(1+$O$5)&lt;=$U$2*0.75,O33*K33*(1+$O$5),$U$2*0.75*K33),O33*K33*(1+$O$5)),0)</f>
        <v>0</v>
      </c>
      <c r="D33" s="47">
        <f>IF($J$5&gt;2,IF($U$2&lt;&gt;0,IF(O33*(1+$O$5)^2&lt;=$U$2*0.75,O33*L33*(1+$O$5)^2,$U$2*0.75*L33),O33*L33*(1+$O$5)^2),0)</f>
        <v>0</v>
      </c>
      <c r="E33" s="47">
        <f>IF($J$5&gt;3,IF($U$2&lt;&gt;0,IF(O33*(1+$O$5)^3&lt;=$U$2*0.75,O33*M33*(1+$O$5)^3,$U$2*0.75*M33),O33*M33*(1+$O$5)^3),0)</f>
        <v>0</v>
      </c>
      <c r="F33" s="47">
        <f>IF($J$5&gt;4,IF($U$2&lt;&gt;0,IF(O33*(1+$O$5)^4&lt;=$U$2*0.75,O33*N33*(1+$O$5)^4,$U$2*0.75*N33),O33*N33*(1+$O$5)^4),0)</f>
        <v>0</v>
      </c>
      <c r="G33" s="186">
        <f>SUM(B33:F33)</f>
        <v>0</v>
      </c>
      <c r="H33" s="193"/>
      <c r="I33" s="190" t="s">
        <v>15</v>
      </c>
      <c r="J33" s="265">
        <v>0</v>
      </c>
      <c r="K33" s="265">
        <f t="shared" ref="K33:K34" si="20">IF($J$5&gt;1,J33,0)</f>
        <v>0</v>
      </c>
      <c r="L33" s="265">
        <f t="shared" ref="L33:L34" si="21">IF($J$5&gt;2,K33,0)</f>
        <v>0</v>
      </c>
      <c r="M33" s="265">
        <f t="shared" ref="M33:M34" si="22">IF($J$5&gt;3,L33,0)</f>
        <v>0</v>
      </c>
      <c r="N33" s="265">
        <f t="shared" ref="N33:N34" si="23">IF($J$5&gt;4,M33,0)</f>
        <v>0</v>
      </c>
      <c r="O33" s="128">
        <f>IF(U35="A",IF($U$2&lt;&gt;0,IF(T35&gt;($U$2/12*9),($U$2/12*9),T35),T35),0)</f>
        <v>0</v>
      </c>
      <c r="P33" s="194"/>
      <c r="Q33" s="137" t="e">
        <f>((SUM(J31:N31)-SUM(J34:N34))/(CEILING($J$5*9,9)))*9</f>
        <v>#DIV/0!</v>
      </c>
      <c r="R33" s="12"/>
      <c r="S33" s="12"/>
      <c r="T33" s="191"/>
      <c r="U33" s="82"/>
      <c r="V33" s="82"/>
    </row>
    <row r="34" spans="1:22" outlineLevel="1" x14ac:dyDescent="0.25">
      <c r="A34" s="411"/>
      <c r="B34" s="47">
        <f>J34/3*O34</f>
        <v>0</v>
      </c>
      <c r="C34" s="47">
        <f>IF($J$5&gt;1,IF($U$2&lt;&gt;0,IF(O34*(1+$O$5)&lt;=$U$2*0.25,O34*K34/3*(1+$O$5),$U$2*0.25*K34/3),O34*K34/3*(1+$O$5)),0)</f>
        <v>0</v>
      </c>
      <c r="D34" s="47">
        <f>IF($J$5&gt;2,IF($U$2&lt;&gt;0,IF(O34*(1+$O$5)^2&lt;=$U$2*0.25,O34*L34/3*(1+$O$5)^2,$U$2*0.25*L34/3),O34*L34/3*(1+$O$5)^2),0)</f>
        <v>0</v>
      </c>
      <c r="E34" s="47">
        <f>IF($J$5&gt;3,IF($U$2&lt;&gt;0,IF(O34*(1+$O$5)^3&lt;=$U$2*0.25,O34*M34/3*(1+$O$5)^3,$U$2*0.25*M34/3),O34*M34/3*(1+$O$5)^3),0)</f>
        <v>0</v>
      </c>
      <c r="F34" s="47">
        <f>IF($J$5&gt;4,IF($U$2&lt;&gt;0,IF(O34*(1+$O$5)^4&lt;=$U$2*0.25,O34*N34/3*(1+$O$5)^4,$U$2*0.25*N34/3),O34*N34/3*(1+$O$5)^4),0)</f>
        <v>0</v>
      </c>
      <c r="G34" s="186">
        <f>SUM(B34:F34)</f>
        <v>0</v>
      </c>
      <c r="H34" s="193"/>
      <c r="I34" s="190" t="s">
        <v>17</v>
      </c>
      <c r="J34" s="266">
        <v>0</v>
      </c>
      <c r="K34" s="266">
        <f t="shared" si="20"/>
        <v>0</v>
      </c>
      <c r="L34" s="266">
        <f t="shared" si="21"/>
        <v>0</v>
      </c>
      <c r="M34" s="266">
        <f t="shared" si="22"/>
        <v>0</v>
      </c>
      <c r="N34" s="266">
        <f t="shared" si="23"/>
        <v>0</v>
      </c>
      <c r="O34" s="128">
        <f>IF(U35="A",IF($U$2&lt;&gt;0,IF(T35/9*3&gt;($U$2/12*3),($U$2/12*3),T35/9*3),T35/9*3),0)</f>
        <v>0</v>
      </c>
      <c r="P34" s="138"/>
      <c r="Q34" s="138" t="e">
        <f>((SUM(J31:N31)-SUM(J33:N33)*9)/(CEILING($J$5*3,3)))*3</f>
        <v>#DIV/0!</v>
      </c>
      <c r="R34" s="12"/>
      <c r="S34" s="12"/>
      <c r="T34" s="12"/>
      <c r="U34" s="82"/>
      <c r="V34" s="82"/>
    </row>
    <row r="35" spans="1:22" outlineLevel="1" x14ac:dyDescent="0.25">
      <c r="A35" s="195"/>
      <c r="B35" s="47"/>
      <c r="C35" s="47"/>
      <c r="D35" s="189"/>
      <c r="E35" s="189"/>
      <c r="F35" s="189"/>
      <c r="G35" s="196"/>
      <c r="H35" s="197"/>
      <c r="I35" s="190" t="s">
        <v>111</v>
      </c>
      <c r="J35" s="130">
        <f>SUM(B32:B34)*$V35</f>
        <v>0</v>
      </c>
      <c r="K35" s="130">
        <f t="shared" ref="K35:N35" si="24">SUM(C32:C34)*$V35</f>
        <v>0</v>
      </c>
      <c r="L35" s="130">
        <f t="shared" si="24"/>
        <v>0</v>
      </c>
      <c r="M35" s="130">
        <f t="shared" si="24"/>
        <v>0</v>
      </c>
      <c r="N35" s="130">
        <f t="shared" si="24"/>
        <v>0</v>
      </c>
      <c r="O35" s="129"/>
      <c r="P35" s="138"/>
      <c r="Q35" s="138"/>
      <c r="R35" s="12"/>
      <c r="S35" s="12"/>
      <c r="T35" s="327">
        <v>0</v>
      </c>
      <c r="U35" s="328"/>
      <c r="V35" s="198">
        <f>$J$79</f>
        <v>0</v>
      </c>
    </row>
    <row r="36" spans="1:22" outlineLevel="1" x14ac:dyDescent="0.25">
      <c r="A36" s="195"/>
      <c r="B36" s="47"/>
      <c r="C36" s="47"/>
      <c r="D36" s="189"/>
      <c r="E36" s="189"/>
      <c r="F36" s="189"/>
      <c r="G36" s="196"/>
      <c r="H36" s="197"/>
      <c r="I36" s="199"/>
      <c r="J36" s="79"/>
      <c r="K36" s="79"/>
      <c r="L36" s="79"/>
      <c r="M36" s="79"/>
      <c r="N36" s="79"/>
      <c r="O36" s="21"/>
      <c r="P36" s="138"/>
      <c r="Q36" s="138"/>
      <c r="R36" s="12"/>
      <c r="S36" s="12"/>
      <c r="T36" s="191"/>
      <c r="U36" s="82"/>
      <c r="V36" s="82"/>
    </row>
    <row r="37" spans="1:22" outlineLevel="1" x14ac:dyDescent="0.25">
      <c r="A37" s="188" t="s">
        <v>84</v>
      </c>
      <c r="B37" s="47"/>
      <c r="C37" s="189"/>
      <c r="D37" s="189"/>
      <c r="E37" s="189"/>
      <c r="F37" s="189"/>
      <c r="G37" s="186"/>
      <c r="I37" s="190" t="s">
        <v>132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1" t="s">
        <v>51</v>
      </c>
      <c r="P37" s="134" t="s">
        <v>130</v>
      </c>
      <c r="Q37" s="134" t="s">
        <v>131</v>
      </c>
      <c r="R37" s="11"/>
      <c r="S37" s="12"/>
      <c r="T37" s="191"/>
      <c r="U37" s="82"/>
      <c r="V37" s="82"/>
    </row>
    <row r="38" spans="1:22" outlineLevel="1" x14ac:dyDescent="0.25">
      <c r="A38" s="192" t="e">
        <f>ROUND(P38*100, 2)&amp;"% Avg. Fiscal Effort, "&amp;ROUND(Q38, 2)&amp;" Avg. Calendar Months"</f>
        <v>#DIV/0!</v>
      </c>
      <c r="B38" s="47">
        <f>O38*J38</f>
        <v>0</v>
      </c>
      <c r="C38" s="47">
        <f>IF($J$5&gt;1,IF($U$2&lt;&gt;0,IF(O38*(1+$O$5)&lt;=$U$2,O38*K38*(1+$O$5),$U$2*K38),O38*K38*(1+$O$5)),0)</f>
        <v>0</v>
      </c>
      <c r="D38" s="47">
        <f>IF($J$5&gt;2,IF($U$2&lt;&gt;0,IF(O38*(1+$O$5)^2&lt;=$U$2,O38*L38*(1+$O$5)^2,$U$2*L38),O38*L38*(1+$O$5)^2),0)</f>
        <v>0</v>
      </c>
      <c r="E38" s="47">
        <f>IF($J$5&gt;3,IF($U$2&lt;&gt;0,IF(O38*(1+$O$5)^3&lt;=$U$2,O38*M38*(1+$O$5)^3,$U$2*M38),O38*M38*(1+$O$5)^3),0)</f>
        <v>0</v>
      </c>
      <c r="F38" s="47">
        <f>IF($J$5&gt;4,IF($U$2&lt;&gt;0,IF(O38*(1+$O$5)^4&lt;=$U$2,O38*N38*(1+$O$5)^4,$U$2*N38),O38*N38*(1+$O$5)^4),0)</f>
        <v>0</v>
      </c>
      <c r="G38" s="186">
        <f>SUM(B38:F38)</f>
        <v>0</v>
      </c>
      <c r="H38" s="193"/>
      <c r="I38" s="190" t="s">
        <v>26</v>
      </c>
      <c r="J38" s="265">
        <v>0</v>
      </c>
      <c r="K38" s="265">
        <f>IF($J$5&gt;1,J38,0)</f>
        <v>0</v>
      </c>
      <c r="L38" s="265">
        <f>IF($J$5&gt;2,K38,0)</f>
        <v>0</v>
      </c>
      <c r="M38" s="265">
        <f>IF($J$5&gt;3,L38,0)</f>
        <v>0</v>
      </c>
      <c r="N38" s="265">
        <f>IF($J$5&gt;4,M38,0)</f>
        <v>0</v>
      </c>
      <c r="O38" s="128">
        <f>IF(U41="F",IF($U$2&lt;&gt;0,IF(T41&gt;$U$2,$U$2,T41),T41),0)</f>
        <v>0</v>
      </c>
      <c r="P38" s="138" t="e">
        <f>SUM(J37:N37)/(ROUNDUP($J$5,0)*12)</f>
        <v>#DIV/0!</v>
      </c>
      <c r="Q38" s="137" t="e">
        <f>(SUM(J37:N37)/(CEILING($J$5*12,12)))*12</f>
        <v>#DIV/0!</v>
      </c>
      <c r="R38" s="12"/>
      <c r="S38" s="12"/>
      <c r="T38" s="191"/>
      <c r="U38" s="82"/>
      <c r="V38" s="82"/>
    </row>
    <row r="39" spans="1:22" ht="15.75" customHeight="1" outlineLevel="1" x14ac:dyDescent="0.25">
      <c r="A39" s="411" t="e">
        <f>ROUND(P38*100,2)&amp;"% Annualized Effort, "&amp;ROUND(Q39,2)&amp;" Avg. Academic Months
"&amp;IF(SUM(J40:N40)&gt;0," and "&amp;Q40 &amp;" Avg. Summer Months", "")</f>
        <v>#DIV/0!</v>
      </c>
      <c r="B39" s="47">
        <f>J39*O39</f>
        <v>0</v>
      </c>
      <c r="C39" s="47">
        <f>IF($J$5&gt;1,IF($U$2&lt;&gt;0,IF(O39*(1+$O$5)&lt;=$U$2*0.75,O39*K39*(1+$O$5),$U$2*0.75*K39),O39*K39*(1+$O$5)),0)</f>
        <v>0</v>
      </c>
      <c r="D39" s="47">
        <f>IF($J$5&gt;2,IF($U$2&lt;&gt;0,IF(O39*(1+$O$5)^2&lt;=$U$2*0.75,O39*L39*(1+$O$5)^2,$U$2*0.75*L39),O39*L39*(1+$O$5)^2),0)</f>
        <v>0</v>
      </c>
      <c r="E39" s="47">
        <f>IF($J$5&gt;3,IF($U$2&lt;&gt;0,IF(O39*(1+$O$5)^3&lt;=$U$2*0.75,O39*M39*(1+$O$5)^3,$U$2*0.75*M39),O39*M39*(1+$O$5)^3),0)</f>
        <v>0</v>
      </c>
      <c r="F39" s="47">
        <f>IF($J$5&gt;4,IF($U$2&lt;&gt;0,IF(O39*(1+$O$5)^4&lt;=$U$2*0.75,O39*N39*(1+$O$5)^4,$U$2*0.75*N39),O39*N39*(1+$O$5)^4),0)</f>
        <v>0</v>
      </c>
      <c r="G39" s="186">
        <f>SUM(B39:F39)</f>
        <v>0</v>
      </c>
      <c r="H39" s="193"/>
      <c r="I39" s="190" t="s">
        <v>15</v>
      </c>
      <c r="J39" s="265">
        <v>0</v>
      </c>
      <c r="K39" s="265">
        <f t="shared" ref="K39:K40" si="25">IF($J$5&gt;1,J39,0)</f>
        <v>0</v>
      </c>
      <c r="L39" s="265">
        <f t="shared" ref="L39:L40" si="26">IF($J$5&gt;2,K39,0)</f>
        <v>0</v>
      </c>
      <c r="M39" s="265">
        <f t="shared" ref="M39:M40" si="27">IF($J$5&gt;3,L39,0)</f>
        <v>0</v>
      </c>
      <c r="N39" s="265">
        <f t="shared" ref="N39:N40" si="28">IF($J$5&gt;4,M39,0)</f>
        <v>0</v>
      </c>
      <c r="O39" s="128">
        <f>IF(U41="A",IF($U$2&lt;&gt;0,IF(T41&gt;($U$2/12*9),($U$2/12*9),T41),T41),0)</f>
        <v>0</v>
      </c>
      <c r="P39" s="194"/>
      <c r="Q39" s="137" t="e">
        <f>((SUM(J37:N37)-SUM(J40:N40))/(CEILING($J$5*9,9)))*9</f>
        <v>#DIV/0!</v>
      </c>
      <c r="R39" s="12"/>
      <c r="S39" s="12"/>
      <c r="T39" s="191"/>
      <c r="U39" s="82"/>
      <c r="V39" s="82"/>
    </row>
    <row r="40" spans="1:22" outlineLevel="1" x14ac:dyDescent="0.25">
      <c r="A40" s="411"/>
      <c r="B40" s="47">
        <f>J40/3*O40</f>
        <v>0</v>
      </c>
      <c r="C40" s="47">
        <f>IF($J$5&gt;1,IF($U$2&lt;&gt;0,IF(O40*(1+$O$5)&lt;=$U$2*0.25,O40*K40/3*(1+$O$5),$U$2*0.25*K40/3),O40*K40/3*(1+$O$5)),0)</f>
        <v>0</v>
      </c>
      <c r="D40" s="47">
        <f>IF($J$5&gt;2,IF($U$2&lt;&gt;0,IF(O40*(1+$O$5)^2&lt;=$U$2*0.25,O40*L40/3*(1+$O$5)^2,$U$2*0.25*L40/3),O40*L40/3*(1+$O$5)^2),0)</f>
        <v>0</v>
      </c>
      <c r="E40" s="47">
        <f>IF($J$5&gt;3,IF($U$2&lt;&gt;0,IF(O40*(1+$O$5)^3&lt;=$U$2*0.25,O40*M40/3*(1+$O$5)^3,$U$2*0.25*M40/3),O40*M40/3*(1+$O$5)^3),0)</f>
        <v>0</v>
      </c>
      <c r="F40" s="47">
        <f>IF($J$5&gt;4,IF($U$2&lt;&gt;0,IF(O40*(1+$O$5)^4&lt;=$U$2*0.25,O40*N40/3*(1+$O$5)^4,$U$2*0.25*N40/3),O40*N40/3*(1+$O$5)^4),0)</f>
        <v>0</v>
      </c>
      <c r="G40" s="186">
        <f>SUM(B40:F40)</f>
        <v>0</v>
      </c>
      <c r="H40" s="193"/>
      <c r="I40" s="190" t="s">
        <v>17</v>
      </c>
      <c r="J40" s="266">
        <v>0</v>
      </c>
      <c r="K40" s="266">
        <f t="shared" si="25"/>
        <v>0</v>
      </c>
      <c r="L40" s="266">
        <f t="shared" si="26"/>
        <v>0</v>
      </c>
      <c r="M40" s="266">
        <f t="shared" si="27"/>
        <v>0</v>
      </c>
      <c r="N40" s="266">
        <f t="shared" si="28"/>
        <v>0</v>
      </c>
      <c r="O40" s="128">
        <f>IF(U41="A",IF($U$2&lt;&gt;0,IF(T41/9*3&gt;($U$2/12*3),($U$2/12*3),T41/9*3),T41/9*3),0)</f>
        <v>0</v>
      </c>
      <c r="P40" s="138"/>
      <c r="Q40" s="138" t="e">
        <f>((SUM(J37:N37)-SUM(J39:N39)*9)/(CEILING($J$5*3,3)))*3</f>
        <v>#DIV/0!</v>
      </c>
      <c r="R40" s="12"/>
      <c r="S40" s="12"/>
      <c r="T40" s="12"/>
      <c r="U40" s="82"/>
      <c r="V40" s="82"/>
    </row>
    <row r="41" spans="1:22" outlineLevel="1" x14ac:dyDescent="0.25">
      <c r="A41" s="195"/>
      <c r="B41" s="47"/>
      <c r="C41" s="47"/>
      <c r="D41" s="189"/>
      <c r="E41" s="189"/>
      <c r="F41" s="189"/>
      <c r="G41" s="196"/>
      <c r="H41" s="197"/>
      <c r="I41" s="190" t="s">
        <v>111</v>
      </c>
      <c r="J41" s="130">
        <f>SUM(B38:B40)*$V41</f>
        <v>0</v>
      </c>
      <c r="K41" s="130">
        <f t="shared" ref="K41:N41" si="29">SUM(C38:C40)*$V41</f>
        <v>0</v>
      </c>
      <c r="L41" s="130">
        <f t="shared" si="29"/>
        <v>0</v>
      </c>
      <c r="M41" s="130">
        <f t="shared" si="29"/>
        <v>0</v>
      </c>
      <c r="N41" s="130">
        <f t="shared" si="29"/>
        <v>0</v>
      </c>
      <c r="O41" s="129"/>
      <c r="P41" s="138"/>
      <c r="Q41" s="138"/>
      <c r="R41" s="12"/>
      <c r="S41" s="12"/>
      <c r="T41" s="327">
        <v>0</v>
      </c>
      <c r="U41" s="328"/>
      <c r="V41" s="198">
        <f>$J$79</f>
        <v>0</v>
      </c>
    </row>
    <row r="42" spans="1:22" outlineLevel="1" x14ac:dyDescent="0.25">
      <c r="A42" s="195"/>
      <c r="B42" s="47"/>
      <c r="C42" s="47"/>
      <c r="D42" s="189"/>
      <c r="E42" s="189"/>
      <c r="F42" s="189"/>
      <c r="G42" s="196"/>
      <c r="H42" s="197"/>
      <c r="I42" s="199"/>
      <c r="J42" s="79"/>
      <c r="K42" s="79"/>
      <c r="L42" s="79"/>
      <c r="M42" s="79"/>
      <c r="N42" s="79"/>
      <c r="O42" s="21"/>
      <c r="P42" s="138"/>
      <c r="Q42" s="138"/>
      <c r="R42" s="12"/>
      <c r="S42" s="12"/>
      <c r="T42" s="191"/>
      <c r="U42" s="82"/>
      <c r="V42" s="82"/>
    </row>
    <row r="43" spans="1:22" outlineLevel="1" x14ac:dyDescent="0.25">
      <c r="A43" s="192"/>
      <c r="B43" s="47"/>
      <c r="C43" s="47"/>
      <c r="D43" s="47"/>
      <c r="E43" s="47"/>
      <c r="F43" s="47"/>
      <c r="G43" s="186"/>
      <c r="H43" s="193"/>
      <c r="I43" s="200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85" t="s">
        <v>51</v>
      </c>
      <c r="P43" s="138"/>
      <c r="Q43" s="138"/>
      <c r="R43" s="12"/>
      <c r="S43" s="12"/>
      <c r="T43" s="12"/>
      <c r="U43" s="191"/>
      <c r="V43" s="82"/>
    </row>
    <row r="44" spans="1:22" outlineLevel="1" x14ac:dyDescent="0.25">
      <c r="A44" s="188" t="str">
        <f>"TBN, Post-doc ("&amp;J44&amp;")"</f>
        <v>TBN, Post-doc ()</v>
      </c>
      <c r="B44" s="47"/>
      <c r="C44" s="47"/>
      <c r="D44" s="189"/>
      <c r="E44" s="189"/>
      <c r="F44" s="189"/>
      <c r="G44" s="186"/>
      <c r="H44" s="193"/>
      <c r="I44" s="190" t="s">
        <v>16</v>
      </c>
      <c r="J44" s="314"/>
      <c r="K44" s="116"/>
      <c r="L44" s="116"/>
      <c r="M44" s="116"/>
      <c r="N44" s="116"/>
      <c r="O44" s="313"/>
      <c r="P44" s="138"/>
      <c r="Q44" s="138"/>
      <c r="R44" s="12"/>
      <c r="S44" s="12"/>
      <c r="T44" s="12"/>
      <c r="U44" s="82"/>
      <c r="V44" s="82"/>
    </row>
    <row r="45" spans="1:22" outlineLevel="1" x14ac:dyDescent="0.25">
      <c r="A45" s="192" t="str">
        <f>ROUND(J45*100,2)&amp;"% FY Effort, "&amp;ROUND(J45*12,2)&amp;" Calendar Months"</f>
        <v>0% FY Effort, 0 Calendar Months</v>
      </c>
      <c r="B45" s="47">
        <f>J44*O44*J45</f>
        <v>0</v>
      </c>
      <c r="C45" s="47">
        <f>IF($J$5&gt;1, O44*K45*(1+$O$5), 0)</f>
        <v>0</v>
      </c>
      <c r="D45" s="47">
        <f>IF($J$5&gt;2, O44*L45*(1+$O$5)^2, 0)</f>
        <v>0</v>
      </c>
      <c r="E45" s="47">
        <f>IF($J$5&gt;3, O44*M45*(1+$O$5)^3, 0)</f>
        <v>0</v>
      </c>
      <c r="F45" s="47">
        <f>IF($J$5&gt;4, O44*N45*(1+$O$5)^4, 0)</f>
        <v>0</v>
      </c>
      <c r="G45" s="186">
        <f>SUM(B45:F45)</f>
        <v>0</v>
      </c>
      <c r="H45" s="193"/>
      <c r="I45" s="201" t="s">
        <v>26</v>
      </c>
      <c r="J45" s="315">
        <v>0</v>
      </c>
      <c r="K45" s="315">
        <f>IF($J$5&gt;1,J45,0)</f>
        <v>0</v>
      </c>
      <c r="L45" s="315">
        <f>IF($J$5&gt;2,K45,0)</f>
        <v>0</v>
      </c>
      <c r="M45" s="315">
        <f>IF($J$5&gt;3,L45,0)</f>
        <v>0</v>
      </c>
      <c r="N45" s="315">
        <f>IF($J$5&gt;4,M45,0)</f>
        <v>0</v>
      </c>
      <c r="O45" s="21"/>
      <c r="P45" s="138"/>
      <c r="Q45" s="138"/>
      <c r="R45" s="12"/>
      <c r="S45" s="12"/>
      <c r="T45" s="12"/>
      <c r="U45" s="82"/>
      <c r="V45" s="82"/>
    </row>
    <row r="46" spans="1:22" outlineLevel="1" x14ac:dyDescent="0.25">
      <c r="A46" s="192"/>
      <c r="B46" s="47"/>
      <c r="C46" s="47"/>
      <c r="D46" s="48"/>
      <c r="E46" s="48"/>
      <c r="F46" s="48"/>
      <c r="G46" s="186"/>
      <c r="H46" s="193"/>
      <c r="I46" s="202"/>
      <c r="J46" s="1"/>
      <c r="K46" s="1"/>
      <c r="L46" s="1"/>
      <c r="M46" s="1"/>
      <c r="N46" s="1"/>
      <c r="O46" s="41" t="s">
        <v>51</v>
      </c>
      <c r="P46" s="138"/>
      <c r="Q46" s="138"/>
      <c r="R46" s="12"/>
      <c r="S46" s="12"/>
      <c r="T46" s="12"/>
      <c r="U46" s="82"/>
      <c r="V46" s="82"/>
    </row>
    <row r="47" spans="1:22" outlineLevel="1" x14ac:dyDescent="0.25">
      <c r="A47" s="188" t="str">
        <f>"TBN, Post-doc ("&amp;J47&amp;")"</f>
        <v>TBN, Post-doc ()</v>
      </c>
      <c r="B47" s="47"/>
      <c r="C47" s="47"/>
      <c r="D47" s="48"/>
      <c r="E47" s="48"/>
      <c r="F47" s="48"/>
      <c r="G47" s="186"/>
      <c r="H47" s="193"/>
      <c r="I47" s="190" t="s">
        <v>16</v>
      </c>
      <c r="J47" s="314"/>
      <c r="K47" s="116"/>
      <c r="L47" s="116"/>
      <c r="M47" s="116"/>
      <c r="N47" s="116"/>
      <c r="O47" s="313"/>
      <c r="P47" s="138"/>
      <c r="Q47" s="138"/>
      <c r="R47" s="12"/>
      <c r="S47" s="12"/>
      <c r="T47" s="12"/>
      <c r="U47" s="82"/>
      <c r="V47" s="82"/>
    </row>
    <row r="48" spans="1:22" outlineLevel="1" x14ac:dyDescent="0.25">
      <c r="A48" s="192" t="str">
        <f>ROUND(J48*100,2)&amp;"% FY Effort, "&amp;ROUND(J48*12,2)&amp;" Calendar Months"</f>
        <v>0% FY Effort, 0 Calendar Months</v>
      </c>
      <c r="B48" s="47">
        <f>J47*O47*J48</f>
        <v>0</v>
      </c>
      <c r="C48" s="47">
        <f>IF($J$5&gt;1, O47*K48*(1+$O$5), 0)</f>
        <v>0</v>
      </c>
      <c r="D48" s="47">
        <f>IF($J$5&gt;2, O47*L48*(1+$O$5)^2, 0)</f>
        <v>0</v>
      </c>
      <c r="E48" s="47">
        <f>IF($J$5&gt;3, O47*M48*(1+$O$5)^3, 0)</f>
        <v>0</v>
      </c>
      <c r="F48" s="47">
        <f>IF($J$5&gt;4, O47*N48*(1+$O$5)^4, 0)</f>
        <v>0</v>
      </c>
      <c r="G48" s="186">
        <f>SUM(B48:F48)</f>
        <v>0</v>
      </c>
      <c r="H48" s="193"/>
      <c r="I48" s="201" t="s">
        <v>26</v>
      </c>
      <c r="J48" s="315">
        <v>0</v>
      </c>
      <c r="K48" s="315">
        <f>IF($J$5&gt;1,J48,0)</f>
        <v>0</v>
      </c>
      <c r="L48" s="315">
        <f>IF($J$5&gt;2,K48,0)</f>
        <v>0</v>
      </c>
      <c r="M48" s="315">
        <f>IF($J$5&gt;3,L48,0)</f>
        <v>0</v>
      </c>
      <c r="N48" s="315">
        <f>IF($J$5&gt;4,M48,0)</f>
        <v>0</v>
      </c>
      <c r="O48" s="21"/>
      <c r="P48" s="138"/>
      <c r="Q48" s="138"/>
      <c r="R48" s="12"/>
      <c r="S48" s="12"/>
      <c r="T48" s="12"/>
      <c r="U48" s="82"/>
      <c r="V48" s="82"/>
    </row>
    <row r="49" spans="1:22" outlineLevel="1" x14ac:dyDescent="0.25">
      <c r="A49" s="192"/>
      <c r="B49" s="47"/>
      <c r="C49" s="47"/>
      <c r="D49" s="47"/>
      <c r="E49" s="47"/>
      <c r="F49" s="47"/>
      <c r="G49" s="186"/>
      <c r="H49" s="193"/>
      <c r="I49" s="202"/>
      <c r="J49" s="1"/>
      <c r="K49" s="1"/>
      <c r="L49" s="1"/>
      <c r="M49" s="1"/>
      <c r="N49" s="1"/>
      <c r="O49" s="41" t="s">
        <v>51</v>
      </c>
      <c r="P49" s="138"/>
      <c r="Q49" s="138"/>
      <c r="R49" s="12"/>
      <c r="S49" s="12"/>
      <c r="T49" s="12"/>
      <c r="U49" s="82"/>
      <c r="V49" s="82"/>
    </row>
    <row r="50" spans="1:22" outlineLevel="1" x14ac:dyDescent="0.25">
      <c r="A50" s="188" t="str">
        <f>"TBN, Post-doc ("&amp;J50&amp;")"</f>
        <v>TBN, Post-doc ()</v>
      </c>
      <c r="B50" s="47"/>
      <c r="C50" s="47"/>
      <c r="D50" s="47"/>
      <c r="E50" s="47"/>
      <c r="F50" s="47"/>
      <c r="G50" s="186"/>
      <c r="H50" s="193"/>
      <c r="I50" s="190" t="s">
        <v>16</v>
      </c>
      <c r="J50" s="314"/>
      <c r="K50" s="116"/>
      <c r="L50" s="116"/>
      <c r="M50" s="116"/>
      <c r="N50" s="116"/>
      <c r="O50" s="313"/>
      <c r="P50" s="138"/>
      <c r="Q50" s="138"/>
      <c r="R50" s="12"/>
      <c r="S50" s="12"/>
      <c r="T50" s="12"/>
      <c r="U50" s="82"/>
      <c r="V50" s="82"/>
    </row>
    <row r="51" spans="1:22" outlineLevel="1" x14ac:dyDescent="0.25">
      <c r="A51" s="192" t="str">
        <f>ROUND(J51*100,2)&amp;"% FY Effort, "&amp;ROUND(J51*12,2)&amp;" Calendar Months"</f>
        <v>0% FY Effort, 0 Calendar Months</v>
      </c>
      <c r="B51" s="47">
        <f>J50*O50*J51</f>
        <v>0</v>
      </c>
      <c r="C51" s="47">
        <f>IF($J$5&gt;1, O50*K51*(1+$O$5), 0)</f>
        <v>0</v>
      </c>
      <c r="D51" s="47">
        <f>IF($J$5&gt;2, O50*L51*(1+$O$5)^2, 0)</f>
        <v>0</v>
      </c>
      <c r="E51" s="47">
        <f>IF($J$5&gt;3, O50*M51*(1+$O$5)^3, 0)</f>
        <v>0</v>
      </c>
      <c r="F51" s="47">
        <f>IF($J$5&gt;4, O50*N51*(1+$O$5)^4, 0)</f>
        <v>0</v>
      </c>
      <c r="G51" s="186">
        <f>SUM(B51:F51)</f>
        <v>0</v>
      </c>
      <c r="H51" s="193"/>
      <c r="I51" s="201" t="s">
        <v>26</v>
      </c>
      <c r="J51" s="315">
        <v>0</v>
      </c>
      <c r="K51" s="315">
        <f>IF($J$5&gt;1,J51,0)</f>
        <v>0</v>
      </c>
      <c r="L51" s="315">
        <f>IF($J$5&gt;2,K51,0)</f>
        <v>0</v>
      </c>
      <c r="M51" s="315">
        <f>IF($J$5&gt;3,L51,0)</f>
        <v>0</v>
      </c>
      <c r="N51" s="315">
        <f>IF($J$5&gt;4,M51,0)</f>
        <v>0</v>
      </c>
      <c r="O51" s="21"/>
      <c r="P51" s="138"/>
      <c r="Q51" s="138"/>
      <c r="R51" s="12"/>
      <c r="S51" s="12"/>
      <c r="T51" s="12"/>
      <c r="U51" s="82"/>
      <c r="V51" s="82"/>
    </row>
    <row r="52" spans="1:22" outlineLevel="1" x14ac:dyDescent="0.25">
      <c r="B52" s="47"/>
      <c r="C52" s="47"/>
      <c r="D52" s="48"/>
      <c r="E52" s="48"/>
      <c r="F52" s="48"/>
      <c r="G52" s="186"/>
      <c r="H52" s="193"/>
      <c r="I52" s="180" t="s">
        <v>48</v>
      </c>
      <c r="J52" s="88" t="b">
        <f>IF(J54&gt;0%,IF(J54&lt;50%,IF(J54&gt;0,($U$3/2),0),$U$3),IF(J55&gt;0%,IF(J55&lt;50%,IF(J55&gt;0,($U$3/2),0),$U$3)))</f>
        <v>0</v>
      </c>
      <c r="K52" s="88" t="b">
        <f>IF(K54&gt;0%,IF(K54&lt;50%,IF(K54&gt;0,(($U$3*(1+$V$3))/2),0),($U$3*(1+$V$3))),IF(K55&gt;0%,IF(K55&lt;50%,IF(K55&gt;0,(($U$3*(1+$V$3))/2),0),($U$3*(1+$V$3)))))</f>
        <v>0</v>
      </c>
      <c r="L52" s="88" t="b">
        <f>IF(L54&gt;0%,IF(L54&lt;50%,IF(L54&gt;0,(($U$3*(1+$V$3)^2)/2),0),($U$3*(1+$V$3)^2)),IF(L55&gt;0%,IF(L55&lt;50%,IF(L55&gt;0,(($U$3*(1+$V$3)^2)/2),0),($U$3*(1+$V$3)^2))))</f>
        <v>0</v>
      </c>
      <c r="M52" s="88" t="b">
        <f>IF(M54&gt;0%,IF(M54&lt;50%,IF(M54&gt;0,(($U$3*(1+$V$3)^3)/2),0),($U$3*(1+$V$3)^3)),IF(M55&gt;0%,IF(M55&lt;50%,IF(M55&gt;0,(($U$3*(1+$V$3)^3)/2),0),($U$3*(1+$V$3)^3))))</f>
        <v>0</v>
      </c>
      <c r="N52" s="88" t="b">
        <f>IF(N54&gt;0%,IF(N54&lt;50%,IF(N54&gt;0,(($U$3*(1+$V$3)^4)/2),0),($U$3*(1+$V$3)^4)),IF(N55&gt;0%,IF(N55&lt;50%,IF(N55&gt;0,(($U$3*(1+$V$3)^4)/2),0),($U$3*(1+$V$3)^4))))</f>
        <v>0</v>
      </c>
      <c r="O52" s="41" t="s">
        <v>51</v>
      </c>
      <c r="P52" s="134"/>
      <c r="Q52" s="134"/>
      <c r="R52" s="12"/>
      <c r="S52" s="203"/>
      <c r="T52"/>
      <c r="U52"/>
      <c r="V52" s="82"/>
    </row>
    <row r="53" spans="1:22" outlineLevel="1" x14ac:dyDescent="0.25">
      <c r="A53" s="188" t="s">
        <v>85</v>
      </c>
      <c r="B53" s="47"/>
      <c r="C53" s="47"/>
      <c r="D53" s="48"/>
      <c r="E53" s="48"/>
      <c r="F53" s="48"/>
      <c r="G53" s="186"/>
      <c r="H53" s="193"/>
      <c r="I53" s="190" t="s">
        <v>132</v>
      </c>
      <c r="J53" s="5">
        <f>IF($U53="F",J54*12,SUM(J55*9,J56))</f>
        <v>0</v>
      </c>
      <c r="K53" s="5">
        <f t="shared" ref="K53:N53" si="30">IF($U53="F",K54*12,SUM(K55*9,K56))</f>
        <v>0</v>
      </c>
      <c r="L53" s="5">
        <f t="shared" si="30"/>
        <v>0</v>
      </c>
      <c r="M53" s="5">
        <f t="shared" si="30"/>
        <v>0</v>
      </c>
      <c r="N53" s="5">
        <f t="shared" si="30"/>
        <v>0</v>
      </c>
      <c r="O53" s="41"/>
      <c r="P53" s="134" t="s">
        <v>130</v>
      </c>
      <c r="Q53" s="134" t="s">
        <v>131</v>
      </c>
      <c r="R53" s="12"/>
      <c r="S53" s="12"/>
      <c r="T53" s="327">
        <v>0</v>
      </c>
      <c r="U53" s="328"/>
    </row>
    <row r="54" spans="1:22" outlineLevel="1" x14ac:dyDescent="0.25">
      <c r="A54" s="192" t="e">
        <f>ROUND(P54*100, 2)&amp;"% Avg. Fiscal Effort, "&amp;ROUND(Q54, 2)&amp;" Avg. Calendar Months"</f>
        <v>#DIV/0!</v>
      </c>
      <c r="B54" s="47">
        <f>O54*J54</f>
        <v>0</v>
      </c>
      <c r="C54" s="47">
        <f>IF($J$5&gt;1,IF($U$2&lt;&gt;0,IF(O54*(1+$O$5)&lt;=$U$2,O54*K54*(1+$O$5),$U$2*K54),O54*K54*(1+$O$5)),0)</f>
        <v>0</v>
      </c>
      <c r="D54" s="47">
        <f>IF($J$5&gt;2,IF($U$2&lt;&gt;0,IF(O54*(1+$O$5)^2&lt;=$U$2,O54*L54*(1+$O$5)^2,$U$2*L54),O54*L54*(1+$O$5)^2),0)</f>
        <v>0</v>
      </c>
      <c r="E54" s="47">
        <f>IF($J$5&gt;3,IF($U$2&lt;&gt;0,IF(O54*(1+$O$5)^3&lt;=$U$2,O54*M54*(1+$O$5)^3,$U$2*M54),O54*M54*(1+$O$5)^3),0)</f>
        <v>0</v>
      </c>
      <c r="F54" s="47">
        <f>IF($J$5&gt;4,IF($U$2&lt;&gt;0,IF(O54*(1+$O$5)^4&lt;=$U$2,O54*N54*(1+$O$5)^4,$U$2*N54),O54*N54*(1+$O$5)^4),0)</f>
        <v>0</v>
      </c>
      <c r="G54" s="186">
        <f>SUM(B54:F54)</f>
        <v>0</v>
      </c>
      <c r="H54" s="193"/>
      <c r="I54" s="190" t="s">
        <v>26</v>
      </c>
      <c r="J54" s="265">
        <v>0</v>
      </c>
      <c r="K54" s="265">
        <f>IF($J$5&gt;1,J54,0)</f>
        <v>0</v>
      </c>
      <c r="L54" s="265">
        <f>IF($J$5&gt;2,K54,0)</f>
        <v>0</v>
      </c>
      <c r="M54" s="265">
        <f>IF($J$5&gt;3,L54,0)</f>
        <v>0</v>
      </c>
      <c r="N54" s="265">
        <f>IF($J$5&gt;4,M54,0)</f>
        <v>0</v>
      </c>
      <c r="O54" s="128">
        <f>IF(U53="F",IF($U$2&lt;&gt;0,IF(T53&gt;$U$2,$U$2,T53),T53),0)</f>
        <v>0</v>
      </c>
      <c r="P54" s="138" t="e">
        <f>SUM(J53:N53)/(ROUNDUP($J$5,0)*12)</f>
        <v>#DIV/0!</v>
      </c>
      <c r="Q54" s="137" t="e">
        <f>(SUM(J53:N53)/(CEILING($J$5*12,12)))*12</f>
        <v>#DIV/0!</v>
      </c>
      <c r="R54" s="12"/>
      <c r="S54" s="12"/>
      <c r="T54" s="191"/>
      <c r="U54" s="82"/>
      <c r="V54" s="82"/>
    </row>
    <row r="55" spans="1:22" outlineLevel="1" x14ac:dyDescent="0.25">
      <c r="A55" s="411" t="e">
        <f>ROUND(P54*100,2)&amp;"% Annualized Effort, "&amp;ROUND(Q55,2)&amp;" Avg. Academic Months
"&amp;IF(SUM(J56:N56)&gt;0," and "&amp;Q56 &amp;" Avg. Summer Months", "")</f>
        <v>#DIV/0!</v>
      </c>
      <c r="B55" s="47">
        <f>J55*O55</f>
        <v>0</v>
      </c>
      <c r="C55" s="47">
        <f>IF($J$5&gt;1,IF($U$2&lt;&gt;0,IF(O55*(1+$O$5)&lt;=$U$2*0.75,O55*K55*(1+$O$5),$U$2*0.75*K55),O55*K55*(1+$O$5)),0)</f>
        <v>0</v>
      </c>
      <c r="D55" s="47">
        <f>IF($J$5&gt;2,IF($U$2&lt;&gt;0,IF(O55*(1+$O$5)^2&lt;=$U$2*0.75,O55*L55*(1+$O$5)^2,$U$2*0.75*L55),O55*L55*(1+$O$5)^2),0)</f>
        <v>0</v>
      </c>
      <c r="E55" s="47">
        <f>IF($J$5&gt;3,IF($U$2&lt;&gt;0,IF(O55*(1+$O$5)^3&lt;=$U$2*0.75,O55*M55*(1+$O$5)^3,$U$2*0.75*M55),O55*M55*(1+$O$5)^3),0)</f>
        <v>0</v>
      </c>
      <c r="F55" s="47">
        <f>IF($J$5&gt;4,IF($U$2&lt;&gt;0,IF(O55*(1+$O$5)^4&lt;=$U$2*0.75,O55*N55*(1+$O$5)^4,$U$2*0.75*N55),O55*N55*(1+$O$5)^4),0)</f>
        <v>0</v>
      </c>
      <c r="G55" s="186">
        <f>SUM(B55:F55)</f>
        <v>0</v>
      </c>
      <c r="H55" s="193"/>
      <c r="I55" s="190" t="s">
        <v>15</v>
      </c>
      <c r="J55" s="265">
        <v>0</v>
      </c>
      <c r="K55" s="265">
        <f t="shared" ref="K55:K56" si="31">IF($J$5&gt;1,J55,0)</f>
        <v>0</v>
      </c>
      <c r="L55" s="265">
        <f t="shared" ref="L55:L56" si="32">IF($J$5&gt;2,K55,0)</f>
        <v>0</v>
      </c>
      <c r="M55" s="265">
        <f t="shared" ref="M55:M56" si="33">IF($J$5&gt;3,L55,0)</f>
        <v>0</v>
      </c>
      <c r="N55" s="265">
        <f t="shared" ref="N55:N56" si="34">IF($J$5&gt;4,M55,0)</f>
        <v>0</v>
      </c>
      <c r="O55" s="128">
        <f>IF(U53="A",IF($U$2&lt;&gt;0,IF(T53&gt;($U$2/12*9),($U$2/12*9),T53),T53),0)</f>
        <v>0</v>
      </c>
      <c r="P55" s="194"/>
      <c r="Q55" s="137" t="e">
        <f>((SUM(J53:N53)-SUM(J56:N56))/(CEILING($J$5*9,9)))*9</f>
        <v>#DIV/0!</v>
      </c>
      <c r="R55" s="12"/>
      <c r="S55" s="12"/>
      <c r="T55" s="191"/>
      <c r="U55" s="82"/>
      <c r="V55" s="82"/>
    </row>
    <row r="56" spans="1:22" outlineLevel="1" x14ac:dyDescent="0.25">
      <c r="A56" s="411"/>
      <c r="B56" s="47">
        <f>J56/3*O56</f>
        <v>0</v>
      </c>
      <c r="C56" s="47">
        <f>IF($J$5&gt;1,IF($U$2&lt;&gt;0,IF(O56*(1+$O$5)&lt;=$U$2*0.25,O56*K56/3*(1+$O$5),$U$2*0.25*K56/3),O56*K56/3*(1+$O$5)),0)</f>
        <v>0</v>
      </c>
      <c r="D56" s="47">
        <f>IF($J$5&gt;2,IF($U$2&lt;&gt;0,IF(O56*(1+$O$5)^2&lt;=$U$2*0.25,O56*L56/3*(1+$O$5)^2,$U$2*0.25*L56/3),O56*L56/3*(1+$O$5)^2),0)</f>
        <v>0</v>
      </c>
      <c r="E56" s="47">
        <f>IF($J$5&gt;3,IF($U$2&lt;&gt;0,IF(O56*(1+$O$5)^3&lt;=$U$2*0.25,O56*M56/3*(1+$O$5)^3,$U$2*0.25*M56/3),O56*M56/3*(1+$O$5)^3),0)</f>
        <v>0</v>
      </c>
      <c r="F56" s="47">
        <f>IF($J$5&gt;4,IF($U$2&lt;&gt;0,IF(O56*(1+$O$5)^4&lt;=$U$2*0.25,O56*N56/3*(1+$O$5)^4,$U$2*0.25*N56/3),O56*N56/3*(1+$O$5)^4),0)</f>
        <v>0</v>
      </c>
      <c r="G56" s="186">
        <f>SUM(B56:F56)</f>
        <v>0</v>
      </c>
      <c r="H56" s="193"/>
      <c r="I56" s="201" t="s">
        <v>17</v>
      </c>
      <c r="J56" s="316">
        <v>0</v>
      </c>
      <c r="K56" s="316">
        <f t="shared" si="31"/>
        <v>0</v>
      </c>
      <c r="L56" s="316">
        <f t="shared" si="32"/>
        <v>0</v>
      </c>
      <c r="M56" s="316">
        <f t="shared" si="33"/>
        <v>0</v>
      </c>
      <c r="N56" s="316">
        <f t="shared" si="34"/>
        <v>0</v>
      </c>
      <c r="O56" s="147">
        <f>IF(U53="A",IF($U$2&lt;&gt;0,IF(T53/9*3&gt;($U$2/12*3),($U$2/12*3),T53/9*3),T53/9*3),0)</f>
        <v>0</v>
      </c>
      <c r="P56" s="138"/>
      <c r="Q56" s="138" t="e">
        <f>((SUM(J53:N53)-SUM(J55:N55)*9)/(CEILING($J$5*3,3)))*3</f>
        <v>#DIV/0!</v>
      </c>
      <c r="R56" s="12"/>
      <c r="S56" s="12"/>
      <c r="T56" s="12"/>
      <c r="U56" s="82"/>
      <c r="V56" s="198"/>
    </row>
    <row r="57" spans="1:22" outlineLevel="1" x14ac:dyDescent="0.25">
      <c r="B57" s="47"/>
      <c r="C57" s="47"/>
      <c r="D57" s="48"/>
      <c r="E57" s="48"/>
      <c r="F57" s="48"/>
      <c r="G57" s="186"/>
      <c r="H57" s="193"/>
      <c r="I57" s="180" t="s">
        <v>48</v>
      </c>
      <c r="J57" s="88" t="b">
        <f>IF(J59&gt;0%,IF(J59&lt;50%,IF(J59&gt;0,($U$3/2),0),$U$3),IF(J60&gt;0%,IF(J60&lt;50%,IF(J60&gt;0,($U$3/2),0),$U$3)))</f>
        <v>0</v>
      </c>
      <c r="K57" s="88" t="b">
        <f>IF(K59&gt;0%,IF(K59&lt;50%,IF(K59&gt;0,(($U$3*(1+$V$3))/2),0),($U$3*(1+$V$3))),IF(K60&gt;0%,IF(K60&lt;50%,IF(K60&gt;0,(($U$3*(1+$V$3))/2),0),($U$3*(1+$V$3)))))</f>
        <v>0</v>
      </c>
      <c r="L57" s="88" t="b">
        <f>IF(L59&gt;0%,IF(L59&lt;50%,IF(L59&gt;0,(($U$3*(1+$V$3)^2)/2),0),($U$3*(1+$V$3)^2)),IF(L60&gt;0%,IF(L60&lt;50%,IF(L60&gt;0,(($U$3*(1+$V$3)^2)/2),0),($U$3*(1+$V$3)^2))))</f>
        <v>0</v>
      </c>
      <c r="M57" s="88" t="b">
        <f>IF(M59&gt;0%,IF(M59&lt;50%,IF(M59&gt;0,(($U$3*(1+$V$3)^3)/2),0),($U$3*(1+$V$3)^3)),IF(M60&gt;0%,IF(M60&lt;50%,IF(M60&gt;0,(($U$3*(1+$V$3)^3)/2),0),($U$3*(1+$V$3)^3))))</f>
        <v>0</v>
      </c>
      <c r="N57" s="88" t="b">
        <f>IF(N59&gt;0%,IF(N59&lt;50%,IF(N59&gt;0,(($U$3*(1+$V$3)^4)/2),0),($U$3*(1+$V$3)^4)),IF(N60&gt;0%,IF(N60&lt;50%,IF(N60&gt;0,(($U$3*(1+$V$3)^4)/2),0),($U$3*(1+$V$3)^4))))</f>
        <v>0</v>
      </c>
      <c r="O57" s="41" t="s">
        <v>51</v>
      </c>
      <c r="P57" s="134"/>
      <c r="Q57" s="134"/>
      <c r="R57" s="12"/>
      <c r="S57" s="203"/>
      <c r="T57" s="12"/>
    </row>
    <row r="58" spans="1:22" outlineLevel="1" x14ac:dyDescent="0.25">
      <c r="A58" s="188" t="s">
        <v>85</v>
      </c>
      <c r="B58" s="47"/>
      <c r="C58" s="47"/>
      <c r="D58" s="48"/>
      <c r="E58" s="48"/>
      <c r="F58" s="48"/>
      <c r="G58" s="186"/>
      <c r="H58" s="193"/>
      <c r="I58" s="190" t="s">
        <v>132</v>
      </c>
      <c r="J58" s="5">
        <f>IF($U58="F",J59*12,SUM(J60*9,J61))</f>
        <v>0</v>
      </c>
      <c r="K58" s="5">
        <f t="shared" ref="K58:N58" si="35">IF($U58="F",K59*12,SUM(K60*9,K61))</f>
        <v>0</v>
      </c>
      <c r="L58" s="5">
        <f t="shared" si="35"/>
        <v>0</v>
      </c>
      <c r="M58" s="5">
        <f t="shared" si="35"/>
        <v>0</v>
      </c>
      <c r="N58" s="5">
        <f t="shared" si="35"/>
        <v>0</v>
      </c>
      <c r="O58" s="41"/>
      <c r="P58" s="134" t="s">
        <v>130</v>
      </c>
      <c r="Q58" s="134" t="s">
        <v>131</v>
      </c>
      <c r="R58" s="12"/>
      <c r="S58" s="12"/>
      <c r="T58" s="327">
        <v>0</v>
      </c>
      <c r="U58" s="328"/>
    </row>
    <row r="59" spans="1:22" outlineLevel="1" x14ac:dyDescent="0.25">
      <c r="A59" s="192" t="e">
        <f>ROUND(P59*100, 2)&amp;"% Avg. Fiscal Effort, "&amp;ROUND(Q59, 2)&amp;" Avg. Calendar Months"</f>
        <v>#DIV/0!</v>
      </c>
      <c r="B59" s="47">
        <f>O59*J59</f>
        <v>0</v>
      </c>
      <c r="C59" s="47">
        <f>IF($J$5&gt;1,IF($U$2&lt;&gt;0,IF(O59*(1+$O$5)&lt;=$U$2,O59*K59*(1+$O$5),$U$2*K59),O59*K59*(1+$O$5)),0)</f>
        <v>0</v>
      </c>
      <c r="D59" s="47">
        <f>IF($J$5&gt;2,IF($U$2&lt;&gt;0,IF(O59*(1+$O$5)^2&lt;=$U$2,O59*L59*(1+$O$5)^2,$U$2*L59),O59*L59*(1+$O$5)^2),0)</f>
        <v>0</v>
      </c>
      <c r="E59" s="47">
        <f>IF($J$5&gt;3,IF($U$2&lt;&gt;0,IF(O59*(1+$O$5)^3&lt;=$U$2,O59*M59*(1+$O$5)^3,$U$2*M59),O59*M59*(1+$O$5)^3),0)</f>
        <v>0</v>
      </c>
      <c r="F59" s="47">
        <f>IF($J$5&gt;4,IF($U$2&lt;&gt;0,IF(O59*(1+$O$5)^4&lt;=$U$2,O59*N59*(1+$O$5)^4,$U$2*N59),O59*N59*(1+$O$5)^4),0)</f>
        <v>0</v>
      </c>
      <c r="G59" s="186">
        <f>SUM(B59:F59)</f>
        <v>0</v>
      </c>
      <c r="H59" s="193"/>
      <c r="I59" s="190" t="s">
        <v>26</v>
      </c>
      <c r="J59" s="265">
        <v>0</v>
      </c>
      <c r="K59" s="265">
        <f>IF($J$5&gt;1,J59,0)</f>
        <v>0</v>
      </c>
      <c r="L59" s="265">
        <f>IF($J$5&gt;2,K59,0)</f>
        <v>0</v>
      </c>
      <c r="M59" s="265">
        <f>IF($J$5&gt;3,L59,0)</f>
        <v>0</v>
      </c>
      <c r="N59" s="265">
        <f>IF($J$5&gt;4,M59,0)</f>
        <v>0</v>
      </c>
      <c r="O59" s="128">
        <f>IF(U58="F",IF($U$2&lt;&gt;0,IF(T58&gt;$U$2,$U$2,T58),T58),0)</f>
        <v>0</v>
      </c>
      <c r="P59" s="138" t="e">
        <f>SUM(J58:N58)/(ROUNDUP($J$5,0)*12)</f>
        <v>#DIV/0!</v>
      </c>
      <c r="Q59" s="137" t="e">
        <f>(SUM(J58:N58)/(CEILING($J$5*12,12)))*12</f>
        <v>#DIV/0!</v>
      </c>
      <c r="R59" s="12"/>
      <c r="S59" s="12"/>
      <c r="T59" s="191"/>
      <c r="U59" s="82"/>
      <c r="V59" s="82"/>
    </row>
    <row r="60" spans="1:22" outlineLevel="1" x14ac:dyDescent="0.25">
      <c r="A60" s="411" t="e">
        <f>ROUND(P59*100,2)&amp;"% Annualized Effort, "&amp;ROUND(Q60,2)&amp;" Avg. Academic Months
"&amp;IF(SUM(J61:N61)&gt;0," and "&amp;Q61 &amp;" Avg. Summer Months", "")</f>
        <v>#DIV/0!</v>
      </c>
      <c r="B60" s="47">
        <f>J60*O60</f>
        <v>0</v>
      </c>
      <c r="C60" s="47">
        <f>IF($J$5&gt;1,IF($U$2&lt;&gt;0,IF(O60*(1+$O$5)&lt;=$U$2*0.75,O60*K60*(1+$O$5),$U$2*0.75*K60),O60*K60*(1+$O$5)),0)</f>
        <v>0</v>
      </c>
      <c r="D60" s="47">
        <f>IF($J$5&gt;2,IF($U$2&lt;&gt;0,IF(O60*(1+$O$5)^2&lt;=$U$2*0.75,O60*L60*(1+$O$5)^2,$U$2*0.75*L60),O60*L60*(1+$O$5)^2),0)</f>
        <v>0</v>
      </c>
      <c r="E60" s="47">
        <f>IF($J$5&gt;3,IF($U$2&lt;&gt;0,IF(O60*(1+$O$5)^3&lt;=$U$2*0.75,O60*M60*(1+$O$5)^3,$U$2*0.75*M60),O60*M60*(1+$O$5)^3),0)</f>
        <v>0</v>
      </c>
      <c r="F60" s="47">
        <f>IF($J$5&gt;4,IF($U$2&lt;&gt;0,IF(O60*(1+$O$5)^4&lt;=$U$2*0.75,O60*N60*(1+$O$5)^4,$U$2*0.75*N60),O60*N60*(1+$O$5)^4),0)</f>
        <v>0</v>
      </c>
      <c r="G60" s="186">
        <f>SUM(B60:F60)</f>
        <v>0</v>
      </c>
      <c r="H60" s="193"/>
      <c r="I60" s="190" t="s">
        <v>15</v>
      </c>
      <c r="J60" s="265">
        <v>0</v>
      </c>
      <c r="K60" s="265">
        <f t="shared" ref="K60:K61" si="36">IF($J$5&gt;1,J60,0)</f>
        <v>0</v>
      </c>
      <c r="L60" s="265">
        <f t="shared" ref="L60:L61" si="37">IF($J$5&gt;2,K60,0)</f>
        <v>0</v>
      </c>
      <c r="M60" s="265">
        <f t="shared" ref="M60:M61" si="38">IF($J$5&gt;3,L60,0)</f>
        <v>0</v>
      </c>
      <c r="N60" s="265">
        <f t="shared" ref="N60:N61" si="39">IF($J$5&gt;4,M60,0)</f>
        <v>0</v>
      </c>
      <c r="O60" s="128">
        <f>IF(U58="A",IF($U$2&lt;&gt;0,IF(T58&gt;($U$2/12*9),($U$2/12*9),T58),T58),0)</f>
        <v>0</v>
      </c>
      <c r="P60" s="194"/>
      <c r="Q60" s="137" t="e">
        <f>((SUM(J58:N58)-SUM(J61:N61))/(CEILING($J$5*9,9)))*9</f>
        <v>#DIV/0!</v>
      </c>
      <c r="R60" s="12"/>
      <c r="S60" s="12"/>
      <c r="T60" s="191"/>
      <c r="U60" s="82"/>
      <c r="V60" s="82"/>
    </row>
    <row r="61" spans="1:22" outlineLevel="1" x14ac:dyDescent="0.25">
      <c r="A61" s="411"/>
      <c r="B61" s="47">
        <f>J61/3*O61</f>
        <v>0</v>
      </c>
      <c r="C61" s="47">
        <f>IF($J$5&gt;1,IF($U$2&lt;&gt;0,IF(O61*(1+$O$5)&lt;=$U$2*0.25,O61*K61/3*(1+$O$5),$U$2*0.25*K61/3),O61*K61/3*(1+$O$5)),0)</f>
        <v>0</v>
      </c>
      <c r="D61" s="47">
        <f>IF($J$5&gt;2,IF($U$2&lt;&gt;0,IF(O61*(1+$O$5)^2&lt;=$U$2*0.25,O61*L61/3*(1+$O$5)^2,$U$2*0.25*L61/3),O61*L61/3*(1+$O$5)^2),0)</f>
        <v>0</v>
      </c>
      <c r="E61" s="47">
        <f>IF($J$5&gt;3,IF($U$2&lt;&gt;0,IF(O61*(1+$O$5)^3&lt;=$U$2*0.25,O61*M61/3*(1+$O$5)^3,$U$2*0.25*M61/3),O61*M61/3*(1+$O$5)^3),0)</f>
        <v>0</v>
      </c>
      <c r="F61" s="47">
        <f>IF($J$5&gt;4,IF($U$2&lt;&gt;0,IF(O61*(1+$O$5)^4&lt;=$U$2*0.25,O61*N61/3*(1+$O$5)^4,$U$2*0.25*N61/3),O61*N61/3*(1+$O$5)^4),0)</f>
        <v>0</v>
      </c>
      <c r="G61" s="186">
        <f>SUM(B61:F61)</f>
        <v>0</v>
      </c>
      <c r="H61" s="193"/>
      <c r="I61" s="201" t="s">
        <v>17</v>
      </c>
      <c r="J61" s="316">
        <v>0</v>
      </c>
      <c r="K61" s="316">
        <f t="shared" si="36"/>
        <v>0</v>
      </c>
      <c r="L61" s="316">
        <f t="shared" si="37"/>
        <v>0</v>
      </c>
      <c r="M61" s="316">
        <f t="shared" si="38"/>
        <v>0</v>
      </c>
      <c r="N61" s="316">
        <f t="shared" si="39"/>
        <v>0</v>
      </c>
      <c r="O61" s="147">
        <f>IF(U58="A",IF($U$2&lt;&gt;0,IF(T58/9*3&gt;($U$2/12*3),($U$2/12*3),T58/9*3),T58/9*3),0)</f>
        <v>0</v>
      </c>
      <c r="P61" s="138"/>
      <c r="Q61" s="138" t="e">
        <f>((SUM(J58:N58)-SUM(J60:N60)*9)/(CEILING($J$5*3,3)))*3</f>
        <v>#DIV/0!</v>
      </c>
      <c r="R61" s="12"/>
      <c r="S61" s="12"/>
      <c r="T61" s="12"/>
      <c r="U61" s="82"/>
      <c r="V61" s="198"/>
    </row>
    <row r="62" spans="1:22" outlineLevel="1" x14ac:dyDescent="0.25">
      <c r="B62" s="47"/>
      <c r="C62" s="47"/>
      <c r="D62" s="47"/>
      <c r="E62" s="47"/>
      <c r="F62" s="47"/>
      <c r="G62" s="186"/>
      <c r="H62" s="193"/>
      <c r="I62" s="180" t="s">
        <v>48</v>
      </c>
      <c r="J62" s="88" t="b">
        <f>IF(J64&gt;0%,IF(J64&lt;50%,IF(J64&gt;0,($U$3/2),0),$U$3),IF(J65&gt;0%,IF(J65&lt;50%,IF(J65&gt;0,($U$3/2),0),$U$3)))</f>
        <v>0</v>
      </c>
      <c r="K62" s="88" t="b">
        <f>IF(K64&gt;0%,IF(K64&lt;50%,IF(K64&gt;0,(($U$3*(1+$V$3))/2),0),($U$3*(1+$V$3))),IF(K65&gt;0%,IF(K65&lt;50%,IF(K65&gt;0,(($U$3*(1+$V$3))/2),0),($U$3*(1+$V$3)))))</f>
        <v>0</v>
      </c>
      <c r="L62" s="88" t="b">
        <f>IF(L64&gt;0%,IF(L64&lt;50%,IF(L64&gt;0,(($U$3*(1+$V$3)^2)/2),0),($U$3*(1+$V$3)^2)),IF(L65&gt;0%,IF(L65&lt;50%,IF(L65&gt;0,(($U$3*(1+$V$3)^2)/2),0),($U$3*(1+$V$3)^2))))</f>
        <v>0</v>
      </c>
      <c r="M62" s="88" t="b">
        <f>IF(M64&gt;0%,IF(M64&lt;50%,IF(M64&gt;0,(($U$3*(1+$V$3)^3)/2),0),($U$3*(1+$V$3)^3)),IF(M65&gt;0%,IF(M65&lt;50%,IF(M65&gt;0,(($U$3*(1+$V$3)^3)/2),0),($U$3*(1+$V$3)^3))))</f>
        <v>0</v>
      </c>
      <c r="N62" s="88" t="b">
        <f>IF(N64&gt;0%,IF(N64&lt;50%,IF(N64&gt;0,(($U$3*(1+$V$3)^4)/2),0),($U$3*(1+$V$3)^4)),IF(N65&gt;0%,IF(N65&lt;50%,IF(N65&gt;0,(($U$3*(1+$V$3)^4)/2),0),($U$3*(1+$V$3)^4))))</f>
        <v>0</v>
      </c>
      <c r="O62" s="41" t="s">
        <v>51</v>
      </c>
      <c r="P62" s="134"/>
      <c r="Q62" s="134"/>
      <c r="R62" s="12"/>
      <c r="S62" s="203"/>
      <c r="T62" s="12"/>
    </row>
    <row r="63" spans="1:22" outlineLevel="1" x14ac:dyDescent="0.25">
      <c r="A63" s="188" t="s">
        <v>85</v>
      </c>
      <c r="B63" s="47"/>
      <c r="C63" s="47"/>
      <c r="D63" s="47"/>
      <c r="E63" s="47"/>
      <c r="F63" s="47"/>
      <c r="G63" s="186"/>
      <c r="H63" s="193"/>
      <c r="I63" s="190" t="s">
        <v>132</v>
      </c>
      <c r="J63" s="5">
        <f>IF($U63="F",J64*12,SUM(J65*9,J66))</f>
        <v>0</v>
      </c>
      <c r="K63" s="5">
        <f t="shared" ref="K63:N63" si="40">IF($U63="F",K64*12,SUM(K65*9,K66))</f>
        <v>0</v>
      </c>
      <c r="L63" s="5">
        <f t="shared" si="40"/>
        <v>0</v>
      </c>
      <c r="M63" s="5">
        <f t="shared" si="40"/>
        <v>0</v>
      </c>
      <c r="N63" s="5">
        <f t="shared" si="40"/>
        <v>0</v>
      </c>
      <c r="O63" s="41"/>
      <c r="P63" s="134" t="s">
        <v>130</v>
      </c>
      <c r="Q63" s="134" t="s">
        <v>131</v>
      </c>
      <c r="R63" s="12"/>
      <c r="S63" s="12"/>
      <c r="T63" s="327">
        <v>0</v>
      </c>
      <c r="U63" s="328"/>
    </row>
    <row r="64" spans="1:22" outlineLevel="1" x14ac:dyDescent="0.25">
      <c r="A64" s="192" t="e">
        <f>ROUND(P64*100, 2)&amp;"% Avg. Fiscal Effort, "&amp;ROUND(Q64, 2)&amp;" Avg. Calendar Months"</f>
        <v>#DIV/0!</v>
      </c>
      <c r="B64" s="47">
        <f>O64*J64</f>
        <v>0</v>
      </c>
      <c r="C64" s="47">
        <f>IF($J$5&gt;1,IF($U$2&lt;&gt;0,IF(O64*(1+$O$5)&lt;=$U$2,O64*K64*(1+$O$5),$U$2*K64),O64*K64*(1+$O$5)),0)</f>
        <v>0</v>
      </c>
      <c r="D64" s="47">
        <f>IF($J$5&gt;2,IF($U$2&lt;&gt;0,IF(O64*(1+$O$5)^2&lt;=$U$2,O64*L64*(1+$O$5)^2,$U$2*L64),O64*L64*(1+$O$5)^2),0)</f>
        <v>0</v>
      </c>
      <c r="E64" s="47">
        <f>IF($J$5&gt;3,IF($U$2&lt;&gt;0,IF(O64*(1+$O$5)^3&lt;=$U$2,O64*M64*(1+$O$5)^3,$U$2*M64),O64*M64*(1+$O$5)^3),0)</f>
        <v>0</v>
      </c>
      <c r="F64" s="47">
        <f>IF($J$5&gt;4,IF($U$2&lt;&gt;0,IF(O64*(1+$O$5)^4&lt;=$U$2,O64*N64*(1+$O$5)^4,$U$2*N64),O64*N64*(1+$O$5)^4),0)</f>
        <v>0</v>
      </c>
      <c r="G64" s="186">
        <f>SUM(B64:F64)</f>
        <v>0</v>
      </c>
      <c r="H64" s="193"/>
      <c r="I64" s="190" t="s">
        <v>26</v>
      </c>
      <c r="J64" s="265">
        <v>0</v>
      </c>
      <c r="K64" s="265">
        <f>IF($J$5&gt;1,J64,0)</f>
        <v>0</v>
      </c>
      <c r="L64" s="265">
        <f>IF($J$5&gt;2,K64,0)</f>
        <v>0</v>
      </c>
      <c r="M64" s="265">
        <f>IF($J$5&gt;3,L64,0)</f>
        <v>0</v>
      </c>
      <c r="N64" s="265">
        <f>IF($J$5&gt;4,M64,0)</f>
        <v>0</v>
      </c>
      <c r="O64" s="128">
        <f>IF(U63="F",IF($U$2&lt;&gt;0,IF(T63&gt;$U$2,$U$2,T63),T63),0)</f>
        <v>0</v>
      </c>
      <c r="P64" s="138" t="e">
        <f>SUM(J63:N63)/(ROUNDUP($J$5,0)*12)</f>
        <v>#DIV/0!</v>
      </c>
      <c r="Q64" s="137" t="e">
        <f>(SUM(J63:N63)/(CEILING($J$5*12,12)))*12</f>
        <v>#DIV/0!</v>
      </c>
      <c r="R64" s="12"/>
      <c r="S64" s="12"/>
      <c r="T64" s="191"/>
      <c r="U64" s="82"/>
      <c r="V64" s="82"/>
    </row>
    <row r="65" spans="1:22" outlineLevel="1" x14ac:dyDescent="0.25">
      <c r="A65" s="411" t="e">
        <f>ROUND(P64*100,2)&amp;"% Annualized Effort, "&amp;ROUND(Q65,2)&amp;" Avg. Academic Months
"&amp;IF(SUM(J66:N66)&gt;0," and "&amp;Q66 &amp;" Avg. Summer Months", "")</f>
        <v>#DIV/0!</v>
      </c>
      <c r="B65" s="47">
        <f>J65*O65</f>
        <v>0</v>
      </c>
      <c r="C65" s="47">
        <f>IF($J$5&gt;1,IF($U$2&lt;&gt;0,IF(O65*(1+$O$5)&lt;=$U$2*0.75,O65*K65*(1+$O$5),$U$2*0.75*K65),O65*K65*(1+$O$5)),0)</f>
        <v>0</v>
      </c>
      <c r="D65" s="47">
        <f>IF($J$5&gt;2,IF($U$2&lt;&gt;0,IF(O65*(1+$O$5)^2&lt;=$U$2*0.75,O65*L65*(1+$O$5)^2,$U$2*0.75*L65),O65*L65*(1+$O$5)^2),0)</f>
        <v>0</v>
      </c>
      <c r="E65" s="47">
        <f>IF($J$5&gt;3,IF($U$2&lt;&gt;0,IF(O65*(1+$O$5)^3&lt;=$U$2*0.75,O65*M65*(1+$O$5)^3,$U$2*0.75*M65),O65*M65*(1+$O$5)^3),0)</f>
        <v>0</v>
      </c>
      <c r="F65" s="47">
        <f>IF($J$5&gt;4,IF($U$2&lt;&gt;0,IF(O65*(1+$O$5)^4&lt;=$U$2*0.75,O65*N65*(1+$O$5)^4,$U$2*0.75*N65),O65*N65*(1+$O$5)^4),0)</f>
        <v>0</v>
      </c>
      <c r="G65" s="186">
        <f>SUM(B65:F65)</f>
        <v>0</v>
      </c>
      <c r="H65" s="193"/>
      <c r="I65" s="190" t="s">
        <v>15</v>
      </c>
      <c r="J65" s="265">
        <v>0</v>
      </c>
      <c r="K65" s="265">
        <f t="shared" ref="K65:K66" si="41">IF($J$5&gt;1,J65,0)</f>
        <v>0</v>
      </c>
      <c r="L65" s="265">
        <f t="shared" ref="L65:L66" si="42">IF($J$5&gt;2,K65,0)</f>
        <v>0</v>
      </c>
      <c r="M65" s="265">
        <f t="shared" ref="M65:M66" si="43">IF($J$5&gt;3,L65,0)</f>
        <v>0</v>
      </c>
      <c r="N65" s="265">
        <f t="shared" ref="N65:N66" si="44">IF($J$5&gt;4,M65,0)</f>
        <v>0</v>
      </c>
      <c r="O65" s="128">
        <f>IF(U63="A",IF($U$2&lt;&gt;0,IF(T63&gt;($U$2/12*9),($U$2/12*9),T63),T63),0)</f>
        <v>0</v>
      </c>
      <c r="P65" s="194"/>
      <c r="Q65" s="137" t="e">
        <f>((SUM(J63:N63)-SUM(J66:N66))/(CEILING($J$5*9,9)))*9</f>
        <v>#DIV/0!</v>
      </c>
      <c r="R65" s="12"/>
      <c r="S65" s="12"/>
      <c r="T65" s="191"/>
      <c r="U65" s="82"/>
      <c r="V65" s="82"/>
    </row>
    <row r="66" spans="1:22" outlineLevel="1" x14ac:dyDescent="0.25">
      <c r="A66" s="411"/>
      <c r="B66" s="47">
        <f>J66/3*O66</f>
        <v>0</v>
      </c>
      <c r="C66" s="47">
        <f>IF($J$5&gt;1,IF($U$2&lt;&gt;0,IF(O66*(1+$O$5)&lt;=$U$2*0.25,O66*K66/3*(1+$O$5),$U$2*0.25*K66/3),O66*K66/3*(1+$O$5)),0)</f>
        <v>0</v>
      </c>
      <c r="D66" s="47">
        <f>IF($J$5&gt;2,IF($U$2&lt;&gt;0,IF(O66*(1+$O$5)^2&lt;=$U$2*0.25,O66*L66/3*(1+$O$5)^2,$U$2*0.25*L66/3),O66*L66/3*(1+$O$5)^2),0)</f>
        <v>0</v>
      </c>
      <c r="E66" s="47">
        <f>IF($J$5&gt;3,IF($U$2&lt;&gt;0,IF(O66*(1+$O$5)^3&lt;=$U$2*0.25,O66*M66/3*(1+$O$5)^3,$U$2*0.25*M66/3),O66*M66/3*(1+$O$5)^3),0)</f>
        <v>0</v>
      </c>
      <c r="F66" s="47">
        <f>IF($J$5&gt;4,IF($U$2&lt;&gt;0,IF(O66*(1+$O$5)^4&lt;=$U$2*0.25,O66*N66/3*(1+$O$5)^4,$U$2*0.25*N66/3),O66*N66/3*(1+$O$5)^4),0)</f>
        <v>0</v>
      </c>
      <c r="G66" s="186">
        <f>SUM(B66:F66)</f>
        <v>0</v>
      </c>
      <c r="H66" s="193"/>
      <c r="I66" s="190" t="s">
        <v>17</v>
      </c>
      <c r="J66" s="316">
        <v>0</v>
      </c>
      <c r="K66" s="316">
        <f t="shared" si="41"/>
        <v>0</v>
      </c>
      <c r="L66" s="316">
        <f t="shared" si="42"/>
        <v>0</v>
      </c>
      <c r="M66" s="316">
        <f t="shared" si="43"/>
        <v>0</v>
      </c>
      <c r="N66" s="316">
        <f t="shared" si="44"/>
        <v>0</v>
      </c>
      <c r="O66" s="147">
        <f>IF(U63="A",IF($U$2&lt;&gt;0,IF(T63/9*3&gt;($U$2/12*3),($U$2/12*3),T63/9*3),T63/9*3),0)</f>
        <v>0</v>
      </c>
      <c r="P66" s="138"/>
      <c r="Q66" s="138" t="e">
        <f>((SUM(J63:N63)-SUM(J65:N65)*9)/(CEILING($J$5*3,3)))*3</f>
        <v>#DIV/0!</v>
      </c>
      <c r="R66" s="12"/>
      <c r="S66" s="12"/>
      <c r="T66" s="12"/>
      <c r="U66" s="82"/>
      <c r="V66" s="198"/>
    </row>
    <row r="67" spans="1:22" outlineLevel="1" x14ac:dyDescent="0.25">
      <c r="A67" s="192"/>
      <c r="B67" s="47"/>
      <c r="C67" s="47"/>
      <c r="D67" s="48"/>
      <c r="E67" s="48"/>
      <c r="F67" s="48"/>
      <c r="G67" s="186"/>
      <c r="H67" s="193"/>
      <c r="I67" s="200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72" t="s">
        <v>50</v>
      </c>
      <c r="P67" s="138"/>
      <c r="Q67" s="138"/>
      <c r="R67" s="12"/>
      <c r="S67" s="12"/>
      <c r="T67" s="12"/>
    </row>
    <row r="68" spans="1:22" outlineLevel="1" x14ac:dyDescent="0.25">
      <c r="A68" s="188" t="str">
        <f>"TBN, Student Worker ("&amp;J68&amp;")"</f>
        <v>TBN, Student Worker (0)</v>
      </c>
      <c r="B68" s="47"/>
      <c r="C68" s="47"/>
      <c r="D68" s="48"/>
      <c r="E68" s="48"/>
      <c r="F68" s="48"/>
      <c r="G68" s="186"/>
      <c r="H68" s="193"/>
      <c r="I68" s="202" t="s">
        <v>49</v>
      </c>
      <c r="J68" s="276">
        <v>0</v>
      </c>
      <c r="K68" s="117"/>
      <c r="L68" s="117"/>
      <c r="M68" s="117"/>
      <c r="N68" s="117"/>
      <c r="O68" s="318">
        <v>0</v>
      </c>
      <c r="P68" s="138"/>
      <c r="Q68" s="138"/>
      <c r="R68" s="12"/>
      <c r="S68" s="12"/>
      <c r="T68" s="12"/>
    </row>
    <row r="69" spans="1:22" outlineLevel="1" x14ac:dyDescent="0.25">
      <c r="A69" s="192" t="str">
        <f>J69&amp;" hours per student @ $"&amp;O68&amp;"/hour"</f>
        <v xml:space="preserve"> hours per student @ $0/hour</v>
      </c>
      <c r="B69" s="47">
        <f>J68*J69*O68</f>
        <v>0</v>
      </c>
      <c r="C69" s="47">
        <f>IF($J$5&gt;1,$J$68*K69*$O$68*(1+$O$5),0)</f>
        <v>0</v>
      </c>
      <c r="D69" s="47">
        <f>IF($J$5&gt;2,$J$68*L69*$O$68*(1+$O$5)^2,0)</f>
        <v>0</v>
      </c>
      <c r="E69" s="47">
        <f>IF($J$5&gt;3,$J$68*M69*$O$68*(1+$O$5)^3,0)</f>
        <v>0</v>
      </c>
      <c r="F69" s="47">
        <f>IF($J$5&gt;4,$J$68*N69*$O$68*(1+$O$5)^4,0)</f>
        <v>0</v>
      </c>
      <c r="G69" s="186">
        <f>SUM(B69:F69)</f>
        <v>0</v>
      </c>
      <c r="H69" s="193"/>
      <c r="I69" s="204" t="s">
        <v>56</v>
      </c>
      <c r="J69" s="317"/>
      <c r="K69" s="316">
        <f t="shared" ref="K69" si="45">IF($J$5&gt;1,J69,0)</f>
        <v>0</v>
      </c>
      <c r="L69" s="317">
        <f t="shared" ref="L69" si="46">IF($J$5&gt;2,K69,0)</f>
        <v>0</v>
      </c>
      <c r="M69" s="317">
        <f t="shared" ref="M69" si="47">IF($J$5&gt;3,L69,0)</f>
        <v>0</v>
      </c>
      <c r="N69" s="317">
        <f t="shared" ref="N69" si="48">IF($J$5&gt;4,M69,0)</f>
        <v>0</v>
      </c>
      <c r="O69" s="21"/>
      <c r="P69" s="138"/>
      <c r="Q69" s="138"/>
      <c r="R69" s="12"/>
      <c r="S69" s="12"/>
      <c r="T69" s="12"/>
    </row>
    <row r="70" spans="1:22" outlineLevel="1" x14ac:dyDescent="0.25">
      <c r="A70" s="192"/>
      <c r="B70" s="47"/>
      <c r="C70" s="47"/>
      <c r="D70" s="47"/>
      <c r="E70" s="47"/>
      <c r="F70" s="47"/>
      <c r="G70" s="186"/>
      <c r="H70" s="193"/>
      <c r="I70" s="202"/>
      <c r="J70" s="117"/>
      <c r="K70" s="117"/>
      <c r="L70" s="117"/>
      <c r="M70" s="117"/>
      <c r="N70" s="117"/>
      <c r="O70" s="43" t="s">
        <v>50</v>
      </c>
      <c r="P70" s="138"/>
      <c r="Q70" s="138"/>
      <c r="R70" s="12"/>
      <c r="S70" s="12"/>
      <c r="T70" s="12"/>
    </row>
    <row r="71" spans="1:22" outlineLevel="1" x14ac:dyDescent="0.25">
      <c r="A71" s="188" t="str">
        <f>"TBN, Student Worker ("&amp;J71&amp;")"</f>
        <v>TBN, Student Worker (0)</v>
      </c>
      <c r="B71" s="47"/>
      <c r="C71" s="47"/>
      <c r="D71" s="48"/>
      <c r="E71" s="48"/>
      <c r="F71" s="48"/>
      <c r="G71" s="186"/>
      <c r="H71" s="193"/>
      <c r="I71" s="202" t="s">
        <v>49</v>
      </c>
      <c r="J71" s="276">
        <v>0</v>
      </c>
      <c r="K71" s="117"/>
      <c r="L71" s="117"/>
      <c r="M71" s="117"/>
      <c r="N71" s="117"/>
      <c r="O71" s="318">
        <v>0</v>
      </c>
      <c r="P71" s="138"/>
      <c r="Q71" s="138"/>
      <c r="R71" s="12"/>
      <c r="S71" s="12"/>
      <c r="T71" s="12"/>
    </row>
    <row r="72" spans="1:22" outlineLevel="1" x14ac:dyDescent="0.25">
      <c r="A72" s="192" t="str">
        <f>J72&amp;" hours per student @ $"&amp;O71&amp;"/hour"</f>
        <v xml:space="preserve"> hours per student @ $0/hour</v>
      </c>
      <c r="B72" s="47">
        <f>J71*J72*O71</f>
        <v>0</v>
      </c>
      <c r="C72" s="47">
        <f>IF($J$5&gt;1,$J$71*K72*$O$71*(1+$O$5),0)</f>
        <v>0</v>
      </c>
      <c r="D72" s="47">
        <f>IF($J$5&gt;2,$J$71*L72*$O$71*(1+$O$5)^2,0)</f>
        <v>0</v>
      </c>
      <c r="E72" s="47">
        <f>IF($J$5&gt;3,$J$71*M72*$O$71*(1+$O$5)^3,0)</f>
        <v>0</v>
      </c>
      <c r="F72" s="47">
        <f>IF($J$5&gt;4,$J$71*N72*$O$71*(1+$O$5)^4,0)</f>
        <v>0</v>
      </c>
      <c r="G72" s="186">
        <f>SUM(B72:F72)</f>
        <v>0</v>
      </c>
      <c r="H72" s="193"/>
      <c r="I72" s="204" t="s">
        <v>56</v>
      </c>
      <c r="J72" s="317"/>
      <c r="K72" s="316">
        <f t="shared" ref="K72" si="49">IF($J$5&gt;1,J72,0)</f>
        <v>0</v>
      </c>
      <c r="L72" s="317">
        <f t="shared" ref="L72" si="50">IF($J$5&gt;2,K72,0)</f>
        <v>0</v>
      </c>
      <c r="M72" s="317">
        <f t="shared" ref="M72" si="51">IF($J$5&gt;3,L72,0)</f>
        <v>0</v>
      </c>
      <c r="N72" s="317">
        <f t="shared" ref="N72" si="52">IF($J$5&gt;4,M72,0)</f>
        <v>0</v>
      </c>
      <c r="O72" s="21"/>
      <c r="P72" s="138"/>
      <c r="Q72" s="138"/>
      <c r="R72" s="12"/>
      <c r="S72" s="12"/>
      <c r="T72" s="12"/>
    </row>
    <row r="73" spans="1:22" outlineLevel="1" x14ac:dyDescent="0.25">
      <c r="A73" s="192"/>
      <c r="B73" s="47"/>
      <c r="C73" s="47"/>
      <c r="D73" s="47"/>
      <c r="E73" s="47"/>
      <c r="F73" s="47"/>
      <c r="G73" s="186"/>
      <c r="H73" s="193"/>
      <c r="I73" s="202"/>
      <c r="J73" s="117"/>
      <c r="K73" s="117"/>
      <c r="L73" s="117"/>
      <c r="M73" s="117"/>
      <c r="N73" s="117"/>
      <c r="O73" s="43" t="s">
        <v>50</v>
      </c>
      <c r="P73" s="138"/>
      <c r="Q73" s="138"/>
      <c r="R73" s="12"/>
      <c r="S73" s="12"/>
      <c r="T73" s="12"/>
    </row>
    <row r="74" spans="1:22" outlineLevel="1" x14ac:dyDescent="0.25">
      <c r="A74" s="188" t="str">
        <f>"TBN, Student Worker ("&amp;J74&amp;")"</f>
        <v>TBN, Student Worker (0)</v>
      </c>
      <c r="B74" s="47"/>
      <c r="C74" s="47"/>
      <c r="D74" s="48"/>
      <c r="E74" s="48"/>
      <c r="F74" s="48"/>
      <c r="G74" s="186"/>
      <c r="H74" s="193"/>
      <c r="I74" s="202" t="s">
        <v>49</v>
      </c>
      <c r="J74" s="276">
        <v>0</v>
      </c>
      <c r="K74" s="117"/>
      <c r="L74" s="117"/>
      <c r="M74" s="117"/>
      <c r="N74" s="117"/>
      <c r="O74" s="318">
        <v>0</v>
      </c>
      <c r="P74" s="138"/>
      <c r="Q74" s="138"/>
      <c r="R74" s="12"/>
      <c r="S74" s="12"/>
      <c r="T74" s="12"/>
    </row>
    <row r="75" spans="1:22" outlineLevel="1" x14ac:dyDescent="0.25">
      <c r="A75" s="192" t="str">
        <f>J75&amp;" hours per student @ $"&amp;O74&amp;"/hour"</f>
        <v xml:space="preserve"> hours per student @ $0/hour</v>
      </c>
      <c r="B75" s="47">
        <f>J74*J75*O74</f>
        <v>0</v>
      </c>
      <c r="C75" s="47">
        <f>IF($J$5&gt;1,$J$74*K75*$O$74*(1+$O$5),0)</f>
        <v>0</v>
      </c>
      <c r="D75" s="47">
        <f>IF($J$5&gt;2,$J$74*L75*$O$74*(1+$O$5)^2,0)</f>
        <v>0</v>
      </c>
      <c r="E75" s="47">
        <f>IF($J$5&gt;3,$J$74*M75*$O$74*(1+$O$5)^3,0)</f>
        <v>0</v>
      </c>
      <c r="F75" s="47">
        <f>IF($J$5&gt;4,$J$74*N75*$O$74*(1+$O$5)^4,0)</f>
        <v>0</v>
      </c>
      <c r="G75" s="186">
        <f>SUM(B75:F75)</f>
        <v>0</v>
      </c>
      <c r="H75" s="193"/>
      <c r="I75" s="204" t="s">
        <v>56</v>
      </c>
      <c r="J75" s="317"/>
      <c r="K75" s="316">
        <f t="shared" ref="K75" si="53">IF($J$5&gt;1,J75,0)</f>
        <v>0</v>
      </c>
      <c r="L75" s="317">
        <f t="shared" ref="L75" si="54">IF($J$5&gt;2,K75,0)</f>
        <v>0</v>
      </c>
      <c r="M75" s="317">
        <f t="shared" ref="M75" si="55">IF($J$5&gt;3,L75,0)</f>
        <v>0</v>
      </c>
      <c r="N75" s="317">
        <f t="shared" ref="N75" si="56">IF($J$5&gt;4,M75,0)</f>
        <v>0</v>
      </c>
      <c r="O75" s="21"/>
      <c r="P75" s="138"/>
      <c r="Q75" s="138"/>
      <c r="R75" s="12"/>
      <c r="S75" s="12"/>
      <c r="T75" s="12"/>
    </row>
    <row r="76" spans="1:22" outlineLevel="1" x14ac:dyDescent="0.25">
      <c r="A76" s="205" t="s">
        <v>0</v>
      </c>
      <c r="B76" s="53">
        <f>ROUND(SUM(B8:B75),0)</f>
        <v>0</v>
      </c>
      <c r="C76" s="53">
        <f t="shared" ref="C76:F76" si="57">ROUND(SUM(C8:C75),0)</f>
        <v>0</v>
      </c>
      <c r="D76" s="53">
        <f t="shared" si="57"/>
        <v>0</v>
      </c>
      <c r="E76" s="53">
        <f t="shared" si="57"/>
        <v>0</v>
      </c>
      <c r="F76" s="53">
        <f t="shared" si="57"/>
        <v>0</v>
      </c>
      <c r="G76" s="53">
        <f>SUM(B76:F76)</f>
        <v>0</v>
      </c>
      <c r="H76" s="24"/>
      <c r="R76" s="12"/>
      <c r="S76" s="12"/>
      <c r="T76" s="12"/>
      <c r="V76" s="82"/>
    </row>
    <row r="77" spans="1:22" outlineLevel="1" x14ac:dyDescent="0.25">
      <c r="B77" s="52"/>
      <c r="C77" s="52"/>
      <c r="D77" s="48"/>
      <c r="E77" s="48"/>
      <c r="F77" s="48"/>
      <c r="G77" s="186"/>
      <c r="R77" s="12"/>
      <c r="S77" s="12"/>
      <c r="T77" s="12"/>
      <c r="V77" s="82"/>
    </row>
    <row r="78" spans="1:22" outlineLevel="1" x14ac:dyDescent="0.25">
      <c r="A78" s="178" t="s">
        <v>4</v>
      </c>
      <c r="B78" s="52"/>
      <c r="C78" s="52"/>
      <c r="D78" s="48"/>
      <c r="E78" s="48"/>
      <c r="F78" s="48"/>
      <c r="G78" s="186"/>
      <c r="R78" s="12"/>
      <c r="S78" s="12"/>
      <c r="T78" s="12"/>
      <c r="V78" s="82"/>
    </row>
    <row r="79" spans="1:22" outlineLevel="1" x14ac:dyDescent="0.25">
      <c r="A79" s="87" t="str">
        <f>I79&amp;ROUND(J79*100,2)&amp;"%"</f>
        <v>Employees @ 0%</v>
      </c>
      <c r="B79" s="319">
        <f>SUM(B8:B40)*$J$79</f>
        <v>0</v>
      </c>
      <c r="C79" s="319">
        <f>SUM(C8:C40)*$J$79</f>
        <v>0</v>
      </c>
      <c r="D79" s="319">
        <f>SUM(D8:D40)*$J$79</f>
        <v>0</v>
      </c>
      <c r="E79" s="319">
        <f>SUM(E8:E40)*$J$79</f>
        <v>0</v>
      </c>
      <c r="F79" s="319">
        <f>SUM(F8:F40)*$J$79</f>
        <v>0</v>
      </c>
      <c r="G79" s="54">
        <f>SUM(B79:F79)</f>
        <v>0</v>
      </c>
      <c r="H79" s="174"/>
      <c r="I79" s="329" t="s">
        <v>152</v>
      </c>
      <c r="J79" s="330">
        <v>0</v>
      </c>
      <c r="K79" s="207"/>
      <c r="L79" s="207"/>
      <c r="M79" s="207"/>
      <c r="N79" s="207"/>
      <c r="R79" s="12"/>
      <c r="S79" s="12"/>
      <c r="T79" s="12"/>
      <c r="V79" s="82"/>
    </row>
    <row r="80" spans="1:22" outlineLevel="1" x14ac:dyDescent="0.25">
      <c r="A80" s="87" t="str">
        <f t="shared" ref="A80:A82" si="58">I80&amp;ROUND(J80*100,2)&amp;"%"</f>
        <v>Post-docs @ 0%</v>
      </c>
      <c r="B80" s="319">
        <f>SUM(B45:B51)*$J$80</f>
        <v>0</v>
      </c>
      <c r="C80" s="319">
        <f>SUM(C45:C51)*$J$80</f>
        <v>0</v>
      </c>
      <c r="D80" s="319">
        <f>SUM(D45:D51)*$J$80</f>
        <v>0</v>
      </c>
      <c r="E80" s="319">
        <f>SUM(E45:E51)*$J$80</f>
        <v>0</v>
      </c>
      <c r="F80" s="319">
        <f>SUM(F45:F51)*$J$80</f>
        <v>0</v>
      </c>
      <c r="G80" s="54">
        <f t="shared" ref="G80:G82" si="59">SUM(B80:F80)</f>
        <v>0</v>
      </c>
      <c r="H80" s="174"/>
      <c r="I80" s="329" t="s">
        <v>153</v>
      </c>
      <c r="J80" s="330">
        <v>0</v>
      </c>
      <c r="K80" s="207"/>
      <c r="L80" s="207"/>
      <c r="M80" s="207"/>
      <c r="N80" s="207"/>
      <c r="R80" s="12"/>
      <c r="S80" s="12"/>
      <c r="T80" s="12"/>
      <c r="V80" s="82"/>
    </row>
    <row r="81" spans="1:22" outlineLevel="1" x14ac:dyDescent="0.25">
      <c r="A81" s="87" t="str">
        <f t="shared" si="58"/>
        <v>Graduate Assistants @ 0%</v>
      </c>
      <c r="B81" s="319">
        <f>SUM(B54:B66)*$J$81</f>
        <v>0</v>
      </c>
      <c r="C81" s="319">
        <f>SUM(C54:C66)*$J$81</f>
        <v>0</v>
      </c>
      <c r="D81" s="319">
        <f>SUM(D54:D66)*$J$81</f>
        <v>0</v>
      </c>
      <c r="E81" s="319">
        <f>SUM(E54:E66)*$J$81</f>
        <v>0</v>
      </c>
      <c r="F81" s="319">
        <f>SUM(F54:F66)*$J$81</f>
        <v>0</v>
      </c>
      <c r="G81" s="54">
        <f t="shared" si="59"/>
        <v>0</v>
      </c>
      <c r="H81" s="174"/>
      <c r="I81" s="329" t="s">
        <v>148</v>
      </c>
      <c r="J81" s="330">
        <v>0</v>
      </c>
      <c r="K81" s="207"/>
      <c r="L81" s="207"/>
      <c r="M81" s="207"/>
      <c r="N81" s="207"/>
      <c r="R81" s="12"/>
      <c r="S81" s="12"/>
      <c r="T81" s="12"/>
      <c r="V81" s="82"/>
    </row>
    <row r="82" spans="1:22" outlineLevel="1" x14ac:dyDescent="0.25">
      <c r="A82" s="87" t="str">
        <f t="shared" si="58"/>
        <v>Student Workers @0%</v>
      </c>
      <c r="B82" s="319">
        <f>SUM(B69:B75)*$J$82</f>
        <v>0</v>
      </c>
      <c r="C82" s="319">
        <f t="shared" ref="C82:F82" si="60">SUM(C69:C75)*$J$82</f>
        <v>0</v>
      </c>
      <c r="D82" s="319">
        <f t="shared" si="60"/>
        <v>0</v>
      </c>
      <c r="E82" s="319">
        <f t="shared" si="60"/>
        <v>0</v>
      </c>
      <c r="F82" s="319">
        <f t="shared" si="60"/>
        <v>0</v>
      </c>
      <c r="G82" s="54">
        <f t="shared" si="59"/>
        <v>0</v>
      </c>
      <c r="H82" s="174"/>
      <c r="I82" s="329" t="s">
        <v>145</v>
      </c>
      <c r="J82" s="330">
        <v>0</v>
      </c>
      <c r="K82" s="207"/>
      <c r="L82" s="207"/>
      <c r="M82" s="207"/>
      <c r="N82" s="207"/>
      <c r="R82" s="12"/>
      <c r="S82" s="12"/>
      <c r="T82" s="12"/>
      <c r="V82" s="82"/>
    </row>
    <row r="83" spans="1:22" outlineLevel="1" x14ac:dyDescent="0.25">
      <c r="A83" s="205" t="s">
        <v>1</v>
      </c>
      <c r="B83" s="55">
        <f>ROUND(SUM(B79:B82),0)</f>
        <v>0</v>
      </c>
      <c r="C83" s="55">
        <f t="shared" ref="C83:F83" si="61">ROUND(SUM(C79:C82),0)</f>
        <v>0</v>
      </c>
      <c r="D83" s="55">
        <f t="shared" si="61"/>
        <v>0</v>
      </c>
      <c r="E83" s="55">
        <f t="shared" si="61"/>
        <v>0</v>
      </c>
      <c r="F83" s="55">
        <f t="shared" si="61"/>
        <v>0</v>
      </c>
      <c r="G83" s="208">
        <f t="shared" ref="G83" si="62">SUM(B83:F83)</f>
        <v>0</v>
      </c>
      <c r="H83" s="174"/>
      <c r="R83" s="12"/>
      <c r="S83" s="12"/>
      <c r="T83" s="12"/>
      <c r="V83" s="82"/>
    </row>
    <row r="84" spans="1:22" outlineLevel="1" x14ac:dyDescent="0.25">
      <c r="B84" s="48"/>
      <c r="C84" s="48"/>
      <c r="D84" s="48"/>
      <c r="E84" s="48"/>
      <c r="F84" s="48"/>
      <c r="G84" s="186"/>
      <c r="R84" s="12"/>
      <c r="S84" s="12"/>
      <c r="T84" s="12"/>
      <c r="V84" s="82"/>
    </row>
    <row r="85" spans="1:22" outlineLevel="1" x14ac:dyDescent="0.25">
      <c r="A85" s="209" t="s">
        <v>95</v>
      </c>
      <c r="B85" s="57">
        <f>B76+B83</f>
        <v>0</v>
      </c>
      <c r="C85" s="57">
        <f>C76+C83</f>
        <v>0</v>
      </c>
      <c r="D85" s="57">
        <f>D76+D83</f>
        <v>0</v>
      </c>
      <c r="E85" s="57">
        <f>E76+E83</f>
        <v>0</v>
      </c>
      <c r="F85" s="57">
        <f>F76+F83</f>
        <v>0</v>
      </c>
      <c r="G85" s="210">
        <f>SUM(B85:F85)</f>
        <v>0</v>
      </c>
      <c r="H85" s="174"/>
      <c r="R85" s="12"/>
      <c r="S85" s="12"/>
      <c r="T85" s="12"/>
      <c r="V85" s="82"/>
    </row>
    <row r="86" spans="1:22" outlineLevel="1" x14ac:dyDescent="0.25">
      <c r="A86" s="173"/>
      <c r="B86" s="59"/>
      <c r="C86" s="59"/>
      <c r="D86" s="59"/>
      <c r="E86" s="59"/>
      <c r="F86" s="59"/>
      <c r="G86" s="60"/>
      <c r="H86" s="25"/>
      <c r="R86" s="12"/>
      <c r="S86" s="12"/>
      <c r="T86" s="12"/>
      <c r="V86" s="82"/>
    </row>
    <row r="87" spans="1:22" outlineLevel="1" x14ac:dyDescent="0.25">
      <c r="A87" s="211" t="s">
        <v>39</v>
      </c>
      <c r="B87" s="48"/>
      <c r="C87" s="48"/>
      <c r="D87" s="48"/>
      <c r="E87" s="48"/>
      <c r="F87" s="48"/>
      <c r="G87" s="186"/>
      <c r="R87" s="12"/>
      <c r="S87" s="12"/>
      <c r="T87" s="12"/>
      <c r="V87" s="82"/>
    </row>
    <row r="88" spans="1:22" outlineLevel="1" x14ac:dyDescent="0.25">
      <c r="A88" s="331" t="s">
        <v>41</v>
      </c>
      <c r="B88" s="281">
        <v>0</v>
      </c>
      <c r="C88" s="281">
        <v>0</v>
      </c>
      <c r="D88" s="281">
        <v>0</v>
      </c>
      <c r="E88" s="281">
        <v>0</v>
      </c>
      <c r="F88" s="281">
        <v>0</v>
      </c>
      <c r="G88" s="186">
        <f>SUM(B88:F88)</f>
        <v>0</v>
      </c>
      <c r="H88" s="193"/>
      <c r="R88" s="12"/>
      <c r="S88" s="12"/>
      <c r="T88" s="12"/>
      <c r="V88" s="82"/>
    </row>
    <row r="89" spans="1:22" outlineLevel="1" x14ac:dyDescent="0.25">
      <c r="A89" s="331" t="s">
        <v>42</v>
      </c>
      <c r="B89" s="281">
        <v>0</v>
      </c>
      <c r="C89" s="281">
        <v>0</v>
      </c>
      <c r="D89" s="281">
        <v>0</v>
      </c>
      <c r="E89" s="281">
        <v>0</v>
      </c>
      <c r="F89" s="281">
        <v>0</v>
      </c>
      <c r="G89" s="186">
        <f>SUM(B89:F89)</f>
        <v>0</v>
      </c>
      <c r="H89" s="193"/>
      <c r="R89" s="12"/>
      <c r="S89" s="12"/>
      <c r="T89" s="12"/>
      <c r="V89" s="82"/>
    </row>
    <row r="90" spans="1:22" outlineLevel="1" x14ac:dyDescent="0.25">
      <c r="A90" s="331" t="s">
        <v>43</v>
      </c>
      <c r="B90" s="281">
        <v>0</v>
      </c>
      <c r="C90" s="281">
        <v>0</v>
      </c>
      <c r="D90" s="281">
        <v>0</v>
      </c>
      <c r="E90" s="281">
        <v>0</v>
      </c>
      <c r="F90" s="281">
        <v>0</v>
      </c>
      <c r="G90" s="186">
        <f>SUM(B90:F90)</f>
        <v>0</v>
      </c>
      <c r="H90" s="193"/>
      <c r="R90" s="12"/>
      <c r="S90" s="12"/>
      <c r="T90" s="12"/>
      <c r="V90" s="82"/>
    </row>
    <row r="91" spans="1:22" outlineLevel="1" x14ac:dyDescent="0.25">
      <c r="A91" s="205" t="s">
        <v>40</v>
      </c>
      <c r="B91" s="53">
        <f>ROUND(SUM(B88:B90),0)</f>
        <v>0</v>
      </c>
      <c r="C91" s="53">
        <f t="shared" ref="C91:F91" si="63">ROUND(SUM(C88:C90),0)</f>
        <v>0</v>
      </c>
      <c r="D91" s="53">
        <f t="shared" si="63"/>
        <v>0</v>
      </c>
      <c r="E91" s="53">
        <f t="shared" si="63"/>
        <v>0</v>
      </c>
      <c r="F91" s="53">
        <f t="shared" si="63"/>
        <v>0</v>
      </c>
      <c r="G91" s="53">
        <f>SUM(B91:F91)</f>
        <v>0</v>
      </c>
      <c r="H91" s="24"/>
      <c r="R91" s="12"/>
      <c r="S91" s="12"/>
      <c r="T91" s="12"/>
      <c r="V91" s="82"/>
    </row>
    <row r="92" spans="1:22" outlineLevel="1" x14ac:dyDescent="0.25">
      <c r="B92" s="52"/>
      <c r="C92" s="52"/>
      <c r="D92" s="48"/>
      <c r="E92" s="48"/>
      <c r="F92" s="48"/>
      <c r="G92" s="186"/>
      <c r="R92" s="12"/>
      <c r="S92" s="12"/>
      <c r="T92" s="12"/>
      <c r="V92" s="82"/>
    </row>
    <row r="93" spans="1:22" outlineLevel="1" x14ac:dyDescent="0.25">
      <c r="A93" s="178" t="s">
        <v>11</v>
      </c>
      <c r="B93" s="60"/>
      <c r="C93" s="60"/>
      <c r="D93" s="60"/>
      <c r="E93" s="60"/>
      <c r="F93" s="60"/>
      <c r="G93" s="60"/>
      <c r="H93" s="25"/>
      <c r="R93" s="12"/>
      <c r="S93" s="12"/>
      <c r="T93" s="12"/>
      <c r="V93" s="82"/>
    </row>
    <row r="94" spans="1:22" outlineLevel="1" x14ac:dyDescent="0.25">
      <c r="A94" s="192" t="s">
        <v>98</v>
      </c>
      <c r="B94" s="320">
        <v>0</v>
      </c>
      <c r="C94" s="320">
        <v>0</v>
      </c>
      <c r="D94" s="320">
        <v>0</v>
      </c>
      <c r="E94" s="320">
        <v>0</v>
      </c>
      <c r="F94" s="320">
        <v>0</v>
      </c>
      <c r="G94" s="60">
        <f>SUM(B94:F94)</f>
        <v>0</v>
      </c>
      <c r="H94" s="25"/>
      <c r="R94" s="12"/>
      <c r="S94" s="12"/>
      <c r="T94" s="12"/>
      <c r="V94" s="82"/>
    </row>
    <row r="95" spans="1:22" outlineLevel="1" x14ac:dyDescent="0.25">
      <c r="A95" s="192" t="s">
        <v>99</v>
      </c>
      <c r="B95" s="320">
        <v>0</v>
      </c>
      <c r="C95" s="320">
        <v>0</v>
      </c>
      <c r="D95" s="320">
        <v>0</v>
      </c>
      <c r="E95" s="320">
        <v>0</v>
      </c>
      <c r="F95" s="320">
        <v>0</v>
      </c>
      <c r="G95" s="60">
        <f>SUM(B95:F95)</f>
        <v>0</v>
      </c>
      <c r="H95" s="25"/>
      <c r="R95" s="12"/>
      <c r="S95" s="12"/>
      <c r="T95" s="12"/>
      <c r="V95" s="82"/>
    </row>
    <row r="96" spans="1:22" outlineLevel="1" x14ac:dyDescent="0.25">
      <c r="A96" s="205" t="s">
        <v>12</v>
      </c>
      <c r="B96" s="62">
        <f>ROUND(SUM(B94:B95),0)</f>
        <v>0</v>
      </c>
      <c r="C96" s="62">
        <f t="shared" ref="C96:F96" si="64">ROUND(SUM(C94:C95),0)</f>
        <v>0</v>
      </c>
      <c r="D96" s="62">
        <f t="shared" si="64"/>
        <v>0</v>
      </c>
      <c r="E96" s="62">
        <f t="shared" si="64"/>
        <v>0</v>
      </c>
      <c r="F96" s="62">
        <f t="shared" si="64"/>
        <v>0</v>
      </c>
      <c r="G96" s="53">
        <f>SUM(B96:F96)</f>
        <v>0</v>
      </c>
      <c r="H96" s="24"/>
      <c r="R96" s="12"/>
      <c r="S96" s="12"/>
      <c r="T96" s="12"/>
      <c r="V96" s="82"/>
    </row>
    <row r="97" spans="1:22" outlineLevel="1" x14ac:dyDescent="0.25">
      <c r="B97" s="48"/>
      <c r="C97" s="48"/>
      <c r="D97" s="48"/>
      <c r="E97" s="48"/>
      <c r="F97" s="48"/>
      <c r="G97" s="186"/>
      <c r="R97" s="12"/>
      <c r="S97" s="12"/>
      <c r="T97" s="12"/>
      <c r="V97" s="82"/>
    </row>
    <row r="98" spans="1:22" outlineLevel="1" x14ac:dyDescent="0.25">
      <c r="A98" s="173" t="s">
        <v>44</v>
      </c>
      <c r="B98" s="48"/>
      <c r="C98" s="48"/>
      <c r="D98" s="48"/>
      <c r="E98" s="48"/>
      <c r="F98" s="48"/>
      <c r="G98" s="186"/>
      <c r="R98" s="12"/>
      <c r="S98" s="12"/>
      <c r="T98" s="12"/>
      <c r="V98" s="82"/>
    </row>
    <row r="99" spans="1:22" outlineLevel="1" x14ac:dyDescent="0.25">
      <c r="A99" s="212" t="s">
        <v>44</v>
      </c>
      <c r="B99" s="321">
        <v>0</v>
      </c>
      <c r="C99" s="321">
        <v>0</v>
      </c>
      <c r="D99" s="321">
        <v>0</v>
      </c>
      <c r="E99" s="321">
        <v>0</v>
      </c>
      <c r="F99" s="321">
        <v>0</v>
      </c>
      <c r="G99" s="206">
        <f>SUM(B99:F99)</f>
        <v>0</v>
      </c>
      <c r="R99" s="12"/>
      <c r="S99" s="12"/>
      <c r="T99" s="12"/>
      <c r="V99" s="82"/>
    </row>
    <row r="100" spans="1:22" x14ac:dyDescent="0.25">
      <c r="A100" s="205" t="s">
        <v>161</v>
      </c>
      <c r="B100" s="62">
        <f>ROUND(SUM(B99),0)</f>
        <v>0</v>
      </c>
      <c r="C100" s="62">
        <f t="shared" ref="C100:F100" si="65">ROUND(SUM(C99),0)</f>
        <v>0</v>
      </c>
      <c r="D100" s="62">
        <f t="shared" si="65"/>
        <v>0</v>
      </c>
      <c r="E100" s="62">
        <f t="shared" si="65"/>
        <v>0</v>
      </c>
      <c r="F100" s="62">
        <f t="shared" si="65"/>
        <v>0</v>
      </c>
      <c r="G100" s="53">
        <f>SUM(B100:F100)</f>
        <v>0</v>
      </c>
      <c r="H100" s="24"/>
      <c r="P100" s="138"/>
      <c r="Q100" s="138"/>
      <c r="R100" s="12"/>
      <c r="S100" s="12"/>
      <c r="T100" s="12"/>
    </row>
    <row r="101" spans="1:22" outlineLevel="1" x14ac:dyDescent="0.25">
      <c r="B101" s="48"/>
      <c r="C101" s="48"/>
      <c r="D101" s="48"/>
      <c r="E101" s="48"/>
      <c r="F101" s="48"/>
      <c r="G101" s="186"/>
      <c r="R101" s="12"/>
      <c r="S101" s="12"/>
      <c r="T101" s="12"/>
      <c r="V101" s="82"/>
    </row>
    <row r="102" spans="1:22" x14ac:dyDescent="0.25">
      <c r="A102" s="213" t="s">
        <v>33</v>
      </c>
      <c r="B102" s="59"/>
      <c r="C102" s="59"/>
      <c r="D102" s="48"/>
      <c r="E102" s="48"/>
      <c r="F102" s="48"/>
      <c r="G102" s="186"/>
      <c r="R102" s="12"/>
      <c r="S102" s="12"/>
      <c r="T102" s="12"/>
      <c r="V102" s="82"/>
    </row>
    <row r="103" spans="1:22" x14ac:dyDescent="0.25">
      <c r="A103" s="212" t="s">
        <v>31</v>
      </c>
      <c r="B103" s="321">
        <f>SUM(J52,J57,J62)</f>
        <v>0</v>
      </c>
      <c r="C103" s="321">
        <f t="shared" ref="C103:F103" si="66">SUM(K52,K57,K62)</f>
        <v>0</v>
      </c>
      <c r="D103" s="321">
        <f t="shared" si="66"/>
        <v>0</v>
      </c>
      <c r="E103" s="321">
        <f t="shared" si="66"/>
        <v>0</v>
      </c>
      <c r="F103" s="321">
        <f t="shared" si="66"/>
        <v>0</v>
      </c>
      <c r="G103" s="206">
        <f>SUM(B103:F103)</f>
        <v>0</v>
      </c>
      <c r="R103" s="12"/>
      <c r="S103" s="12"/>
      <c r="T103" s="12"/>
      <c r="V103" s="82"/>
    </row>
    <row r="104" spans="1:22" x14ac:dyDescent="0.25">
      <c r="A104" s="212" t="s">
        <v>97</v>
      </c>
      <c r="B104" s="322">
        <v>0</v>
      </c>
      <c r="C104" s="322">
        <v>0</v>
      </c>
      <c r="D104" s="322">
        <v>0</v>
      </c>
      <c r="E104" s="322">
        <v>0</v>
      </c>
      <c r="F104" s="322">
        <v>0</v>
      </c>
      <c r="G104" s="206">
        <f>SUM(B104:F104)</f>
        <v>0</v>
      </c>
      <c r="H104" s="174"/>
      <c r="R104" s="12"/>
      <c r="S104" s="12"/>
      <c r="T104" s="12"/>
      <c r="V104" s="82"/>
    </row>
    <row r="105" spans="1:22" outlineLevel="1" x14ac:dyDescent="0.25">
      <c r="A105" s="212"/>
      <c r="B105" s="64"/>
      <c r="C105" s="64"/>
      <c r="D105" s="64"/>
      <c r="E105" s="64"/>
      <c r="F105" s="64"/>
      <c r="G105" s="206"/>
      <c r="R105" s="12"/>
      <c r="S105" s="12"/>
      <c r="T105" s="12"/>
      <c r="V105" s="82"/>
    </row>
    <row r="106" spans="1:22" outlineLevel="1" x14ac:dyDescent="0.25">
      <c r="A106" s="332" t="s">
        <v>88</v>
      </c>
      <c r="B106" s="281">
        <v>0</v>
      </c>
      <c r="C106" s="281">
        <v>0</v>
      </c>
      <c r="D106" s="281">
        <v>0</v>
      </c>
      <c r="E106" s="281">
        <v>0</v>
      </c>
      <c r="F106" s="281">
        <v>0</v>
      </c>
      <c r="G106" s="186">
        <f>SUM(B106:F106)</f>
        <v>0</v>
      </c>
      <c r="H106" s="193"/>
      <c r="R106" s="12"/>
      <c r="S106" s="12"/>
      <c r="T106" s="12"/>
      <c r="V106" s="82"/>
    </row>
    <row r="107" spans="1:22" outlineLevel="1" x14ac:dyDescent="0.25">
      <c r="A107" s="332" t="s">
        <v>89</v>
      </c>
      <c r="B107" s="281">
        <v>0</v>
      </c>
      <c r="C107" s="281">
        <v>0</v>
      </c>
      <c r="D107" s="281">
        <v>0</v>
      </c>
      <c r="E107" s="281">
        <v>0</v>
      </c>
      <c r="F107" s="281">
        <v>0</v>
      </c>
      <c r="G107" s="186">
        <f t="shared" ref="G107:G111" si="67">SUM(B107:F107)</f>
        <v>0</v>
      </c>
      <c r="H107" s="193"/>
      <c r="R107" s="12"/>
      <c r="S107" s="12"/>
      <c r="T107" s="12"/>
      <c r="V107" s="82"/>
    </row>
    <row r="108" spans="1:22" x14ac:dyDescent="0.25">
      <c r="A108" s="332" t="s">
        <v>90</v>
      </c>
      <c r="B108" s="281">
        <v>0</v>
      </c>
      <c r="C108" s="281">
        <v>0</v>
      </c>
      <c r="D108" s="281">
        <v>0</v>
      </c>
      <c r="E108" s="281">
        <v>0</v>
      </c>
      <c r="F108" s="281">
        <v>0</v>
      </c>
      <c r="G108" s="186">
        <f t="shared" si="67"/>
        <v>0</v>
      </c>
      <c r="H108" s="193"/>
      <c r="R108" s="12"/>
      <c r="S108" s="12"/>
      <c r="T108" s="12"/>
      <c r="V108" s="82"/>
    </row>
    <row r="109" spans="1:22" x14ac:dyDescent="0.25">
      <c r="A109" s="332" t="s">
        <v>91</v>
      </c>
      <c r="B109" s="281">
        <v>0</v>
      </c>
      <c r="C109" s="281">
        <v>0</v>
      </c>
      <c r="D109" s="281">
        <v>0</v>
      </c>
      <c r="E109" s="281">
        <v>0</v>
      </c>
      <c r="F109" s="281">
        <v>0</v>
      </c>
      <c r="G109" s="186">
        <f t="shared" si="67"/>
        <v>0</v>
      </c>
      <c r="H109" s="193"/>
      <c r="R109" s="12"/>
      <c r="S109" s="12"/>
      <c r="T109" s="12"/>
      <c r="V109" s="82"/>
    </row>
    <row r="110" spans="1:22" x14ac:dyDescent="0.25">
      <c r="A110" s="332" t="s">
        <v>102</v>
      </c>
      <c r="B110" s="281">
        <v>0</v>
      </c>
      <c r="C110" s="281">
        <v>0</v>
      </c>
      <c r="D110" s="281">
        <v>0</v>
      </c>
      <c r="E110" s="281">
        <v>0</v>
      </c>
      <c r="F110" s="281">
        <v>0</v>
      </c>
      <c r="G110" s="186">
        <f t="shared" si="67"/>
        <v>0</v>
      </c>
      <c r="H110" s="193"/>
      <c r="R110" s="12"/>
      <c r="S110" s="12"/>
      <c r="T110" s="12"/>
      <c r="V110" s="82"/>
    </row>
    <row r="111" spans="1:22" outlineLevel="1" x14ac:dyDescent="0.25">
      <c r="A111" s="333" t="s">
        <v>103</v>
      </c>
      <c r="B111" s="281">
        <v>0</v>
      </c>
      <c r="C111" s="281">
        <v>0</v>
      </c>
      <c r="D111" s="281">
        <v>0</v>
      </c>
      <c r="E111" s="281">
        <v>0</v>
      </c>
      <c r="F111" s="281">
        <v>0</v>
      </c>
      <c r="G111" s="186">
        <f t="shared" si="67"/>
        <v>0</v>
      </c>
      <c r="H111" s="193"/>
      <c r="R111" s="12"/>
      <c r="S111" s="12"/>
      <c r="T111" s="12"/>
      <c r="V111" s="82"/>
    </row>
    <row r="112" spans="1:22" outlineLevel="1" x14ac:dyDescent="0.25">
      <c r="A112" s="214" t="s">
        <v>87</v>
      </c>
      <c r="B112" s="50">
        <f>SUM(B106:B111)</f>
        <v>0</v>
      </c>
      <c r="C112" s="50">
        <f t="shared" ref="C112:F112" si="68">SUM(C106:C111)</f>
        <v>0</v>
      </c>
      <c r="D112" s="50">
        <f t="shared" si="68"/>
        <v>0</v>
      </c>
      <c r="E112" s="50">
        <f t="shared" si="68"/>
        <v>0</v>
      </c>
      <c r="F112" s="50">
        <f t="shared" si="68"/>
        <v>0</v>
      </c>
      <c r="G112" s="215">
        <f>SUM(B112:F112)</f>
        <v>0</v>
      </c>
      <c r="H112" s="24"/>
      <c r="R112" s="12"/>
      <c r="S112" s="12"/>
      <c r="T112" s="12"/>
      <c r="V112" s="82"/>
    </row>
    <row r="113" spans="1:22" x14ac:dyDescent="0.25">
      <c r="A113" s="216"/>
      <c r="B113" s="65"/>
      <c r="C113" s="65"/>
      <c r="D113" s="65"/>
      <c r="E113" s="65"/>
      <c r="F113" s="65"/>
      <c r="G113" s="65"/>
      <c r="H113" s="24"/>
      <c r="R113" s="12"/>
      <c r="S113" s="12"/>
      <c r="T113" s="12"/>
      <c r="V113" s="82"/>
    </row>
    <row r="114" spans="1:22" x14ac:dyDescent="0.25">
      <c r="A114" s="217" t="s">
        <v>38</v>
      </c>
      <c r="B114" s="62">
        <f>ROUND(SUM(B103:B104,B112),0)</f>
        <v>0</v>
      </c>
      <c r="C114" s="62">
        <f t="shared" ref="C114:F114" si="69">ROUND(SUM(C103:C104,C112),0)</f>
        <v>0</v>
      </c>
      <c r="D114" s="62">
        <f t="shared" si="69"/>
        <v>0</v>
      </c>
      <c r="E114" s="62">
        <f t="shared" si="69"/>
        <v>0</v>
      </c>
      <c r="F114" s="62">
        <f t="shared" si="69"/>
        <v>0</v>
      </c>
      <c r="G114" s="53">
        <f>SUM(B114:F114)</f>
        <v>0</v>
      </c>
      <c r="H114" s="24"/>
      <c r="R114" s="12"/>
      <c r="S114" s="12"/>
      <c r="T114" s="12"/>
      <c r="V114" s="82"/>
    </row>
    <row r="115" spans="1:22" x14ac:dyDescent="0.25">
      <c r="A115" s="218"/>
      <c r="B115" s="66"/>
      <c r="C115" s="66"/>
      <c r="D115" s="67"/>
      <c r="E115" s="67"/>
      <c r="F115" s="67"/>
      <c r="G115" s="206"/>
      <c r="R115" s="12"/>
      <c r="S115" s="12"/>
      <c r="T115" s="12"/>
      <c r="V115" s="82"/>
    </row>
    <row r="116" spans="1:22" outlineLevel="1" x14ac:dyDescent="0.25">
      <c r="A116" s="219" t="s">
        <v>92</v>
      </c>
      <c r="B116" s="92">
        <f>B118-B107-B109-B111</f>
        <v>0</v>
      </c>
      <c r="C116" s="92">
        <f t="shared" ref="C116:F116" si="70">C118-C107-C109-C111</f>
        <v>0</v>
      </c>
      <c r="D116" s="92">
        <f t="shared" si="70"/>
        <v>0</v>
      </c>
      <c r="E116" s="92">
        <f t="shared" si="70"/>
        <v>0</v>
      </c>
      <c r="F116" s="92">
        <f t="shared" si="70"/>
        <v>0</v>
      </c>
      <c r="G116" s="93">
        <f>SUM(B116:F116)</f>
        <v>0</v>
      </c>
      <c r="R116" s="12"/>
      <c r="S116" s="12"/>
      <c r="T116" s="12"/>
      <c r="V116" s="82"/>
    </row>
    <row r="117" spans="1:22" outlineLevel="1" x14ac:dyDescent="0.25">
      <c r="A117" s="218"/>
      <c r="B117" s="66"/>
      <c r="C117" s="66"/>
      <c r="D117" s="67"/>
      <c r="E117" s="67"/>
      <c r="F117" s="67"/>
      <c r="G117" s="206"/>
      <c r="R117" s="12"/>
      <c r="S117" s="12"/>
      <c r="T117" s="12"/>
      <c r="V117" s="82"/>
    </row>
    <row r="118" spans="1:22" outlineLevel="1" x14ac:dyDescent="0.25">
      <c r="A118" s="213" t="s">
        <v>2</v>
      </c>
      <c r="B118" s="68">
        <f>SUM(B85,B91,B96,B100,B114)</f>
        <v>0</v>
      </c>
      <c r="C118" s="68">
        <f t="shared" ref="C118:F118" si="71">SUM(C85,C91,C96,C100,C114)</f>
        <v>0</v>
      </c>
      <c r="D118" s="68">
        <f t="shared" si="71"/>
        <v>0</v>
      </c>
      <c r="E118" s="68">
        <f t="shared" si="71"/>
        <v>0</v>
      </c>
      <c r="F118" s="68">
        <f t="shared" si="71"/>
        <v>0</v>
      </c>
      <c r="G118" s="206">
        <f t="shared" ref="G118:G123" si="72">SUM(B118:F118)</f>
        <v>0</v>
      </c>
      <c r="H118" s="174"/>
      <c r="R118" s="12"/>
      <c r="S118" s="12"/>
      <c r="T118" s="12"/>
      <c r="V118" s="82"/>
    </row>
    <row r="119" spans="1:22" outlineLevel="1" x14ac:dyDescent="0.25">
      <c r="A119" s="212" t="s">
        <v>45</v>
      </c>
      <c r="B119" s="81">
        <f>-B91</f>
        <v>0</v>
      </c>
      <c r="C119" s="81">
        <f>-C91</f>
        <v>0</v>
      </c>
      <c r="D119" s="81">
        <f>-D91</f>
        <v>0</v>
      </c>
      <c r="E119" s="81">
        <f>-E91</f>
        <v>0</v>
      </c>
      <c r="F119" s="81">
        <f>-F91</f>
        <v>0</v>
      </c>
      <c r="G119" s="206">
        <f t="shared" si="72"/>
        <v>0</v>
      </c>
      <c r="H119" s="174"/>
      <c r="R119" s="12"/>
      <c r="S119" s="12"/>
      <c r="T119" s="12"/>
      <c r="V119" s="82"/>
    </row>
    <row r="120" spans="1:22" outlineLevel="1" x14ac:dyDescent="0.25">
      <c r="A120" s="220" t="s">
        <v>32</v>
      </c>
      <c r="B120" s="81">
        <f>-B103</f>
        <v>0</v>
      </c>
      <c r="C120" s="81">
        <f>-C103</f>
        <v>0</v>
      </c>
      <c r="D120" s="81">
        <f>-D103</f>
        <v>0</v>
      </c>
      <c r="E120" s="68">
        <f>-E103</f>
        <v>0</v>
      </c>
      <c r="F120" s="68">
        <f>-F103</f>
        <v>0</v>
      </c>
      <c r="G120" s="206">
        <f t="shared" si="72"/>
        <v>0</v>
      </c>
      <c r="H120" s="174"/>
      <c r="R120" s="12"/>
      <c r="S120" s="12"/>
      <c r="T120" s="12"/>
      <c r="V120" s="82"/>
    </row>
    <row r="121" spans="1:22" outlineLevel="1" x14ac:dyDescent="0.25">
      <c r="A121" s="220" t="s">
        <v>47</v>
      </c>
      <c r="B121" s="91">
        <f>-B100</f>
        <v>0</v>
      </c>
      <c r="C121" s="91">
        <f t="shared" ref="C121:F121" si="73">-C100</f>
        <v>0</v>
      </c>
      <c r="D121" s="91">
        <f t="shared" si="73"/>
        <v>0</v>
      </c>
      <c r="E121" s="91">
        <f t="shared" si="73"/>
        <v>0</v>
      </c>
      <c r="F121" s="91">
        <f t="shared" si="73"/>
        <v>0</v>
      </c>
      <c r="G121" s="206">
        <f t="shared" si="72"/>
        <v>0</v>
      </c>
      <c r="H121" s="174"/>
      <c r="R121" s="12"/>
      <c r="S121" s="12"/>
      <c r="T121" s="12"/>
      <c r="V121" s="82"/>
    </row>
    <row r="122" spans="1:22" outlineLevel="1" x14ac:dyDescent="0.25">
      <c r="A122" s="220" t="s">
        <v>46</v>
      </c>
      <c r="B122" s="325">
        <v>0</v>
      </c>
      <c r="C122" s="325">
        <v>0</v>
      </c>
      <c r="D122" s="325">
        <v>0</v>
      </c>
      <c r="E122" s="325">
        <v>0</v>
      </c>
      <c r="F122" s="325">
        <v>0</v>
      </c>
      <c r="G122" s="186">
        <f t="shared" si="72"/>
        <v>0</v>
      </c>
      <c r="H122" s="174"/>
      <c r="R122" s="12"/>
      <c r="S122" s="12"/>
      <c r="T122" s="12"/>
      <c r="V122" s="82"/>
    </row>
    <row r="123" spans="1:22" x14ac:dyDescent="0.25">
      <c r="A123" s="205" t="s">
        <v>13</v>
      </c>
      <c r="B123" s="53">
        <f>ROUND(SUM(B118:B122),0)</f>
        <v>0</v>
      </c>
      <c r="C123" s="53">
        <f t="shared" ref="C123:F123" si="74">ROUND(SUM(C118:C122),0)</f>
        <v>0</v>
      </c>
      <c r="D123" s="53">
        <f t="shared" si="74"/>
        <v>0</v>
      </c>
      <c r="E123" s="53">
        <f t="shared" si="74"/>
        <v>0</v>
      </c>
      <c r="F123" s="53">
        <f t="shared" si="74"/>
        <v>0</v>
      </c>
      <c r="G123" s="215">
        <f t="shared" si="72"/>
        <v>0</v>
      </c>
      <c r="H123" s="174"/>
      <c r="P123" s="177" t="s">
        <v>134</v>
      </c>
      <c r="Q123" s="177" t="s">
        <v>133</v>
      </c>
      <c r="R123" s="12"/>
      <c r="S123" s="12"/>
      <c r="T123" s="12"/>
      <c r="V123" s="82"/>
    </row>
    <row r="124" spans="1:22" x14ac:dyDescent="0.25">
      <c r="A124" s="221"/>
      <c r="B124" s="69"/>
      <c r="C124" s="69"/>
      <c r="D124" s="48"/>
      <c r="E124" s="48"/>
      <c r="F124" s="48"/>
      <c r="G124" s="186"/>
      <c r="P124" s="222"/>
      <c r="Q124" s="138" t="s">
        <v>124</v>
      </c>
      <c r="R124" s="12"/>
      <c r="S124" s="12"/>
      <c r="T124" s="12"/>
      <c r="V124" s="82"/>
    </row>
    <row r="125" spans="1:22" x14ac:dyDescent="0.25">
      <c r="A125" s="178" t="s">
        <v>30</v>
      </c>
      <c r="B125" s="69"/>
      <c r="C125" s="69"/>
      <c r="D125" s="48"/>
      <c r="E125" s="48"/>
      <c r="F125" s="48"/>
      <c r="G125" s="186"/>
      <c r="I125" s="177" t="s">
        <v>123</v>
      </c>
      <c r="J125" s="223" t="s">
        <v>125</v>
      </c>
      <c r="P125" s="138"/>
      <c r="Q125" s="138" t="s">
        <v>135</v>
      </c>
      <c r="R125" s="12"/>
      <c r="S125" s="12"/>
      <c r="T125" s="12"/>
      <c r="V125" s="82"/>
    </row>
    <row r="126" spans="1:22" x14ac:dyDescent="0.25">
      <c r="A126" s="220" t="str">
        <f>IF(J126="TC","F&amp;A Costs @ "&amp;ROUND(I126/(1-I126),4)*100&amp;"% TDC or " &amp;I126*100&amp;"% TC", "F&amp;A Costs @ "&amp;I126*100&amp;"% "&amp;J126)</f>
        <v>F&amp;A Costs @ 0% MTDC</v>
      </c>
      <c r="B126" s="48">
        <f>IF($J$126="MTDC",(B123*$I$126),IF($J$126="TDC",(B118*$I$126),IF($J$126="TC",(B118*($I$126/(1-$I$126))))))</f>
        <v>0</v>
      </c>
      <c r="C126" s="48">
        <f t="shared" ref="C126:E126" si="75">IF($J$126="MTDC",(C123*$I$126),IF($J$126="TDC",(C118*$I$126),IF($J$126="TC",(C118*($I$126/(1-$I$126))))))</f>
        <v>0</v>
      </c>
      <c r="D126" s="48">
        <f t="shared" si="75"/>
        <v>0</v>
      </c>
      <c r="E126" s="48">
        <f t="shared" si="75"/>
        <v>0</v>
      </c>
      <c r="F126" s="48">
        <f>IF($J$126="MTDC",(F123*$I$126),IF($J$126="TDC",(F118*$I$126),IF($J$126="TC",(F118*($I$126/(1-$I$126))))))</f>
        <v>0</v>
      </c>
      <c r="G126" s="186">
        <f>SUM(B126:F126)</f>
        <v>0</v>
      </c>
      <c r="H126" s="174"/>
      <c r="I126" s="330">
        <v>0</v>
      </c>
      <c r="J126" s="329" t="s">
        <v>124</v>
      </c>
      <c r="P126" s="138"/>
      <c r="Q126" s="138" t="s">
        <v>136</v>
      </c>
      <c r="R126" s="12"/>
      <c r="S126" s="12"/>
      <c r="T126" s="12"/>
      <c r="V126" s="82"/>
    </row>
    <row r="127" spans="1:22" x14ac:dyDescent="0.25">
      <c r="A127" s="205" t="s">
        <v>53</v>
      </c>
      <c r="B127" s="53">
        <f>ROUND(SUM(B126:B126),0)</f>
        <v>0</v>
      </c>
      <c r="C127" s="53">
        <f t="shared" ref="C127:F127" si="76">ROUND(SUM(C126:C126),0)</f>
        <v>0</v>
      </c>
      <c r="D127" s="53">
        <f t="shared" si="76"/>
        <v>0</v>
      </c>
      <c r="E127" s="53">
        <f t="shared" si="76"/>
        <v>0</v>
      </c>
      <c r="F127" s="53">
        <f t="shared" si="76"/>
        <v>0</v>
      </c>
      <c r="G127" s="215">
        <f>SUM(B127:F127)</f>
        <v>0</v>
      </c>
      <c r="H127" s="174"/>
      <c r="R127" s="12"/>
      <c r="S127" s="12"/>
      <c r="T127" s="12"/>
      <c r="V127" s="82"/>
    </row>
    <row r="128" spans="1:22" x14ac:dyDescent="0.25">
      <c r="A128" s="192"/>
      <c r="B128" s="48"/>
      <c r="C128" s="48"/>
      <c r="D128" s="48"/>
      <c r="E128" s="48"/>
      <c r="F128" s="48"/>
      <c r="G128" s="186"/>
      <c r="I128" s="224"/>
      <c r="R128" s="12"/>
      <c r="S128" s="12"/>
      <c r="T128" s="12"/>
      <c r="V128" s="82"/>
    </row>
    <row r="129" spans="1:22" x14ac:dyDescent="0.25">
      <c r="A129" s="209" t="s">
        <v>96</v>
      </c>
      <c r="B129" s="58">
        <f>B118+B127</f>
        <v>0</v>
      </c>
      <c r="C129" s="58">
        <f>C118+C127</f>
        <v>0</v>
      </c>
      <c r="D129" s="58">
        <f>D118+D127</f>
        <v>0</v>
      </c>
      <c r="E129" s="58">
        <f>E118+E127</f>
        <v>0</v>
      </c>
      <c r="F129" s="58">
        <f>F118+F127</f>
        <v>0</v>
      </c>
      <c r="G129" s="210">
        <f>SUM(B129:F129)</f>
        <v>0</v>
      </c>
      <c r="H129" s="174"/>
      <c r="R129" s="12"/>
      <c r="S129" s="12"/>
      <c r="T129" s="12"/>
      <c r="V129" s="82"/>
    </row>
    <row r="130" spans="1:22" ht="16.5" thickBot="1" x14ac:dyDescent="0.3">
      <c r="R130" s="12"/>
      <c r="S130" s="12"/>
      <c r="T130" s="12"/>
      <c r="V130" s="82"/>
    </row>
    <row r="131" spans="1:22" ht="45" customHeight="1" thickBot="1" x14ac:dyDescent="0.3">
      <c r="A131" s="417" t="s">
        <v>57</v>
      </c>
      <c r="B131" s="418"/>
      <c r="C131" s="418"/>
      <c r="D131" s="418"/>
      <c r="E131" s="418"/>
      <c r="F131" s="418"/>
      <c r="G131" s="419"/>
    </row>
    <row r="134" spans="1:22" x14ac:dyDescent="0.25">
      <c r="A134" s="225"/>
    </row>
  </sheetData>
  <sheetProtection formatCells="0" formatColumns="0" formatRows="0" insertRows="0" deleteColumns="0" deleteRows="0" selectLockedCells="1" sort="0"/>
  <mergeCells count="13">
    <mergeCell ref="A131:G131"/>
    <mergeCell ref="A27:A28"/>
    <mergeCell ref="A33:A34"/>
    <mergeCell ref="A39:A40"/>
    <mergeCell ref="A55:A56"/>
    <mergeCell ref="A60:A61"/>
    <mergeCell ref="A65:A66"/>
    <mergeCell ref="A21:A22"/>
    <mergeCell ref="I1:O1"/>
    <mergeCell ref="A2:G2"/>
    <mergeCell ref="A4:G4"/>
    <mergeCell ref="A9:A10"/>
    <mergeCell ref="A15:A16"/>
  </mergeCells>
  <dataValidations count="2">
    <dataValidation type="list" allowBlank="1" showInputMessage="1" showErrorMessage="1" sqref="J126" xr:uid="{00000000-0002-0000-0B00-000000000000}">
      <formula1>$Q$124:$Q$126</formula1>
    </dataValidation>
    <dataValidation type="list" allowBlank="1" showInputMessage="1" showErrorMessage="1" sqref="U11 U17 U23 U29 U35 U41 U63 U58 U53" xr:uid="{00000000-0002-0000-0B00-000001000000}">
      <formula1>$R$3:$R$4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2"/>
  <sheetViews>
    <sheetView zoomScale="80" zoomScaleNormal="80" workbookViewId="0">
      <selection activeCell="R52" sqref="R52"/>
    </sheetView>
  </sheetViews>
  <sheetFormatPr defaultColWidth="9.28515625" defaultRowHeight="15.75" x14ac:dyDescent="0.25"/>
  <cols>
    <col min="1" max="1" width="19.5703125" style="12" customWidth="1"/>
    <col min="2" max="2" width="8.42578125" style="82" bestFit="1" customWidth="1"/>
    <col min="3" max="3" width="14.28515625" style="82" bestFit="1" customWidth="1"/>
    <col min="4" max="4" width="17.28515625" style="12" bestFit="1" customWidth="1"/>
    <col min="5" max="5" width="15.42578125" style="12" bestFit="1" customWidth="1"/>
    <col min="6" max="6" width="10.7109375" style="12" bestFit="1" customWidth="1"/>
    <col min="7" max="7" width="13.7109375" style="12" bestFit="1" customWidth="1"/>
    <col min="8" max="8" width="14.28515625" style="12" bestFit="1" customWidth="1"/>
    <col min="9" max="9" width="11.7109375" style="12" bestFit="1" customWidth="1"/>
    <col min="10" max="10" width="25.28515625" style="12" bestFit="1" customWidth="1"/>
    <col min="11" max="11" width="19.42578125" style="12" customWidth="1"/>
    <col min="12" max="13" width="9.28515625" style="12"/>
    <col min="14" max="14" width="22.42578125" style="12" bestFit="1" customWidth="1"/>
    <col min="15" max="15" width="8.42578125" style="12" bestFit="1" customWidth="1"/>
    <col min="16" max="16" width="14.28515625" style="12" bestFit="1" customWidth="1"/>
    <col min="17" max="17" width="17.28515625" style="12" bestFit="1" customWidth="1"/>
    <col min="18" max="18" width="15.42578125" style="12" bestFit="1" customWidth="1"/>
    <col min="19" max="19" width="10.7109375" style="12" bestFit="1" customWidth="1"/>
    <col min="20" max="20" width="13.7109375" style="12" bestFit="1" customWidth="1"/>
    <col min="21" max="21" width="14.28515625" style="12" bestFit="1" customWidth="1"/>
    <col min="22" max="22" width="11.7109375" style="12" bestFit="1" customWidth="1"/>
    <col min="23" max="23" width="24.7109375" style="12" bestFit="1" customWidth="1"/>
    <col min="24" max="24" width="19.28515625" style="12" customWidth="1"/>
    <col min="25" max="16384" width="9.28515625" style="12"/>
  </cols>
  <sheetData>
    <row r="1" spans="1:24" ht="18.75" x14ac:dyDescent="0.3">
      <c r="A1" s="40" t="s">
        <v>35</v>
      </c>
      <c r="N1" s="40" t="s">
        <v>34</v>
      </c>
      <c r="O1" s="82"/>
      <c r="P1" s="82"/>
    </row>
    <row r="2" spans="1:24" x14ac:dyDescent="0.25">
      <c r="O2" s="82"/>
      <c r="P2" s="82"/>
    </row>
    <row r="3" spans="1:24" x14ac:dyDescent="0.25">
      <c r="A3" s="28" t="s">
        <v>36</v>
      </c>
      <c r="B3" s="83"/>
      <c r="C3" s="83"/>
      <c r="D3" s="29"/>
      <c r="E3" s="29"/>
      <c r="F3" s="29"/>
      <c r="G3" s="29"/>
      <c r="H3" s="29"/>
      <c r="I3" s="29"/>
      <c r="J3" s="29"/>
      <c r="K3" s="30"/>
      <c r="N3" s="28" t="s">
        <v>36</v>
      </c>
      <c r="O3" s="83"/>
      <c r="P3" s="83"/>
      <c r="Q3" s="29"/>
      <c r="R3" s="29"/>
      <c r="S3" s="29"/>
      <c r="T3" s="29"/>
      <c r="U3" s="29"/>
      <c r="V3" s="29"/>
      <c r="W3" s="29"/>
      <c r="X3" s="30"/>
    </row>
    <row r="4" spans="1:24" s="70" customFormat="1" ht="31.5" x14ac:dyDescent="0.25">
      <c r="A4" s="74" t="s">
        <v>79</v>
      </c>
      <c r="B4" s="75" t="s">
        <v>19</v>
      </c>
      <c r="C4" s="75" t="s">
        <v>20</v>
      </c>
      <c r="D4" s="75" t="s">
        <v>93</v>
      </c>
      <c r="E4" s="75" t="s">
        <v>101</v>
      </c>
      <c r="F4" s="75" t="s">
        <v>21</v>
      </c>
      <c r="G4" s="75" t="s">
        <v>22</v>
      </c>
      <c r="H4" s="75" t="s">
        <v>104</v>
      </c>
      <c r="I4" s="75" t="s">
        <v>55</v>
      </c>
      <c r="J4" s="75" t="s">
        <v>94</v>
      </c>
      <c r="K4" s="75" t="s">
        <v>10</v>
      </c>
      <c r="N4" s="74" t="s">
        <v>79</v>
      </c>
      <c r="O4" s="75" t="s">
        <v>19</v>
      </c>
      <c r="P4" s="75" t="s">
        <v>20</v>
      </c>
      <c r="Q4" s="75" t="s">
        <v>93</v>
      </c>
      <c r="R4" s="75" t="s">
        <v>101</v>
      </c>
      <c r="S4" s="75" t="s">
        <v>21</v>
      </c>
      <c r="T4" s="75" t="s">
        <v>22</v>
      </c>
      <c r="U4" s="75" t="s">
        <v>104</v>
      </c>
      <c r="V4" s="75" t="s">
        <v>55</v>
      </c>
      <c r="W4" s="75" t="s">
        <v>94</v>
      </c>
      <c r="X4" s="75" t="s">
        <v>10</v>
      </c>
    </row>
    <row r="5" spans="1:24" x14ac:dyDescent="0.25">
      <c r="A5" s="293"/>
      <c r="B5" s="294"/>
      <c r="C5" s="294"/>
      <c r="D5" s="295"/>
      <c r="E5" s="295"/>
      <c r="F5" s="295"/>
      <c r="G5" s="295"/>
      <c r="H5" s="295"/>
      <c r="I5" s="295"/>
      <c r="J5" s="227">
        <f>F5+G5*(E5+1)+H5*E5+I5</f>
        <v>0</v>
      </c>
      <c r="K5" s="31">
        <f>J5*B5*C5</f>
        <v>0</v>
      </c>
      <c r="N5" s="293"/>
      <c r="O5" s="294"/>
      <c r="P5" s="294"/>
      <c r="Q5" s="295"/>
      <c r="R5" s="295"/>
      <c r="S5" s="295"/>
      <c r="T5" s="295"/>
      <c r="U5" s="295"/>
      <c r="V5" s="295"/>
      <c r="W5" s="227">
        <f>S5+T5*(R5+1)+U5*R5+V5</f>
        <v>0</v>
      </c>
      <c r="X5" s="31">
        <f>W5*O5*P5</f>
        <v>0</v>
      </c>
    </row>
    <row r="6" spans="1:24" x14ac:dyDescent="0.25">
      <c r="A6" s="295"/>
      <c r="B6" s="294"/>
      <c r="C6" s="294"/>
      <c r="D6" s="295"/>
      <c r="E6" s="295"/>
      <c r="F6" s="295"/>
      <c r="G6" s="295"/>
      <c r="H6" s="295"/>
      <c r="I6" s="295"/>
      <c r="J6" s="227">
        <f t="shared" ref="J6:J9" si="0">F6+G6*(E6+1)+H6*E6+I6</f>
        <v>0</v>
      </c>
      <c r="K6" s="31">
        <f>J6*B6*C6</f>
        <v>0</v>
      </c>
      <c r="N6" s="295"/>
      <c r="O6" s="294"/>
      <c r="P6" s="294"/>
      <c r="Q6" s="295"/>
      <c r="R6" s="295"/>
      <c r="S6" s="295"/>
      <c r="T6" s="295"/>
      <c r="U6" s="295"/>
      <c r="V6" s="295"/>
      <c r="W6" s="227">
        <f t="shared" ref="W6:W9" si="1">S6+T6*(R6+1)+U6*R6+V6</f>
        <v>0</v>
      </c>
      <c r="X6" s="31">
        <f>W6*O6*P6</f>
        <v>0</v>
      </c>
    </row>
    <row r="7" spans="1:24" x14ac:dyDescent="0.25">
      <c r="A7" s="295"/>
      <c r="B7" s="294"/>
      <c r="C7" s="294"/>
      <c r="D7" s="295"/>
      <c r="E7" s="295"/>
      <c r="F7" s="295"/>
      <c r="G7" s="295"/>
      <c r="H7" s="295"/>
      <c r="I7" s="295"/>
      <c r="J7" s="227">
        <f t="shared" si="0"/>
        <v>0</v>
      </c>
      <c r="K7" s="31">
        <f>J7*B7*C7</f>
        <v>0</v>
      </c>
      <c r="N7" s="295"/>
      <c r="O7" s="294"/>
      <c r="P7" s="294"/>
      <c r="Q7" s="295"/>
      <c r="R7" s="295"/>
      <c r="S7" s="295"/>
      <c r="T7" s="295"/>
      <c r="U7" s="295"/>
      <c r="V7" s="295"/>
      <c r="W7" s="227">
        <f t="shared" si="1"/>
        <v>0</v>
      </c>
      <c r="X7" s="31">
        <f>W7*O7*P7</f>
        <v>0</v>
      </c>
    </row>
    <row r="8" spans="1:24" x14ac:dyDescent="0.25">
      <c r="A8" s="295"/>
      <c r="B8" s="294"/>
      <c r="C8" s="294"/>
      <c r="D8" s="295"/>
      <c r="E8" s="295"/>
      <c r="F8" s="295"/>
      <c r="G8" s="295"/>
      <c r="H8" s="295"/>
      <c r="I8" s="295"/>
      <c r="J8" s="227">
        <f t="shared" si="0"/>
        <v>0</v>
      </c>
      <c r="K8" s="31">
        <f>J8*B8*C8</f>
        <v>0</v>
      </c>
      <c r="N8" s="295"/>
      <c r="O8" s="294"/>
      <c r="P8" s="294"/>
      <c r="Q8" s="295"/>
      <c r="R8" s="295"/>
      <c r="S8" s="295"/>
      <c r="T8" s="295"/>
      <c r="U8" s="295"/>
      <c r="V8" s="295"/>
      <c r="W8" s="227">
        <f t="shared" si="1"/>
        <v>0</v>
      </c>
      <c r="X8" s="31">
        <f>W8*O8*P8</f>
        <v>0</v>
      </c>
    </row>
    <row r="9" spans="1:24" x14ac:dyDescent="0.25">
      <c r="A9" s="295"/>
      <c r="B9" s="294"/>
      <c r="C9" s="294"/>
      <c r="D9" s="295"/>
      <c r="E9" s="295"/>
      <c r="F9" s="295"/>
      <c r="G9" s="295"/>
      <c r="H9" s="295"/>
      <c r="I9" s="295"/>
      <c r="J9" s="227">
        <f t="shared" si="0"/>
        <v>0</v>
      </c>
      <c r="K9" s="31">
        <f>J9*B9*C9</f>
        <v>0</v>
      </c>
      <c r="N9" s="295"/>
      <c r="O9" s="294"/>
      <c r="P9" s="294"/>
      <c r="Q9" s="295"/>
      <c r="R9" s="295"/>
      <c r="S9" s="295"/>
      <c r="T9" s="295"/>
      <c r="U9" s="295"/>
      <c r="V9" s="295"/>
      <c r="W9" s="227">
        <f t="shared" si="1"/>
        <v>0</v>
      </c>
      <c r="X9" s="31">
        <f>W9*O9*P9</f>
        <v>0</v>
      </c>
    </row>
    <row r="10" spans="1:24" ht="16.5" thickBot="1" x14ac:dyDescent="0.3">
      <c r="A10" s="382" t="s">
        <v>67</v>
      </c>
      <c r="B10" s="382"/>
      <c r="C10" s="382"/>
      <c r="D10" s="382"/>
      <c r="E10" s="382"/>
      <c r="F10" s="382"/>
      <c r="G10" s="382"/>
      <c r="H10" s="382"/>
      <c r="I10" s="382"/>
      <c r="J10" s="382"/>
      <c r="K10" s="73">
        <f>SUM(K5:K9)</f>
        <v>0</v>
      </c>
      <c r="N10" s="382" t="s">
        <v>72</v>
      </c>
      <c r="O10" s="382"/>
      <c r="P10" s="382"/>
      <c r="Q10" s="382"/>
      <c r="R10" s="382"/>
      <c r="S10" s="382"/>
      <c r="T10" s="382"/>
      <c r="U10" s="382"/>
      <c r="V10" s="382"/>
      <c r="W10" s="382"/>
      <c r="X10" s="73">
        <f>SUM(X5:X9)</f>
        <v>0</v>
      </c>
    </row>
    <row r="11" spans="1:24" ht="16.5" thickTop="1" x14ac:dyDescent="0.25">
      <c r="O11" s="82"/>
      <c r="P11" s="82"/>
    </row>
    <row r="12" spans="1:24" x14ac:dyDescent="0.25">
      <c r="O12" s="82"/>
      <c r="P12" s="82"/>
    </row>
    <row r="13" spans="1:24" x14ac:dyDescent="0.25">
      <c r="A13" s="28" t="s">
        <v>60</v>
      </c>
      <c r="B13" s="83"/>
      <c r="C13" s="83"/>
      <c r="D13" s="29"/>
      <c r="E13" s="29"/>
      <c r="F13" s="29"/>
      <c r="G13" s="29"/>
      <c r="H13" s="29"/>
      <c r="I13" s="29"/>
      <c r="J13" s="29"/>
      <c r="K13" s="30"/>
      <c r="N13" s="28" t="s">
        <v>60</v>
      </c>
      <c r="O13" s="83"/>
      <c r="P13" s="83"/>
      <c r="Q13" s="29"/>
      <c r="R13" s="29"/>
      <c r="S13" s="29"/>
      <c r="T13" s="29"/>
      <c r="U13" s="29"/>
      <c r="V13" s="29"/>
      <c r="W13" s="29"/>
      <c r="X13" s="30"/>
    </row>
    <row r="14" spans="1:24" s="70" customFormat="1" ht="31.5" x14ac:dyDescent="0.25">
      <c r="A14" s="74" t="s">
        <v>79</v>
      </c>
      <c r="B14" s="75" t="s">
        <v>19</v>
      </c>
      <c r="C14" s="75" t="s">
        <v>20</v>
      </c>
      <c r="D14" s="75" t="s">
        <v>93</v>
      </c>
      <c r="E14" s="75" t="s">
        <v>101</v>
      </c>
      <c r="F14" s="75" t="s">
        <v>21</v>
      </c>
      <c r="G14" s="75" t="s">
        <v>22</v>
      </c>
      <c r="H14" s="75" t="s">
        <v>104</v>
      </c>
      <c r="I14" s="75" t="s">
        <v>55</v>
      </c>
      <c r="J14" s="75" t="s">
        <v>23</v>
      </c>
      <c r="K14" s="75" t="s">
        <v>10</v>
      </c>
      <c r="N14" s="74" t="s">
        <v>79</v>
      </c>
      <c r="O14" s="75" t="s">
        <v>19</v>
      </c>
      <c r="P14" s="75" t="s">
        <v>20</v>
      </c>
      <c r="Q14" s="75" t="s">
        <v>93</v>
      </c>
      <c r="R14" s="75" t="s">
        <v>101</v>
      </c>
      <c r="S14" s="75" t="s">
        <v>21</v>
      </c>
      <c r="T14" s="75" t="s">
        <v>22</v>
      </c>
      <c r="U14" s="75" t="s">
        <v>104</v>
      </c>
      <c r="V14" s="75" t="s">
        <v>55</v>
      </c>
      <c r="W14" s="75" t="s">
        <v>94</v>
      </c>
      <c r="X14" s="75" t="s">
        <v>10</v>
      </c>
    </row>
    <row r="15" spans="1:24" x14ac:dyDescent="0.25">
      <c r="A15" s="293"/>
      <c r="B15" s="294"/>
      <c r="C15" s="294"/>
      <c r="D15" s="295"/>
      <c r="E15" s="295"/>
      <c r="F15" s="295"/>
      <c r="G15" s="295"/>
      <c r="H15" s="295"/>
      <c r="I15" s="295"/>
      <c r="J15" s="227">
        <f>F15+G15*(E15+1)+H15*E15+I15</f>
        <v>0</v>
      </c>
      <c r="K15" s="31">
        <f>J15*B15*C15</f>
        <v>0</v>
      </c>
      <c r="N15" s="293"/>
      <c r="O15" s="294"/>
      <c r="P15" s="294"/>
      <c r="Q15" s="295"/>
      <c r="R15" s="295"/>
      <c r="S15" s="295"/>
      <c r="T15" s="295"/>
      <c r="U15" s="295"/>
      <c r="V15" s="295"/>
      <c r="W15" s="227">
        <f>S15+T15*(R15+1)+U15*R15+V15</f>
        <v>0</v>
      </c>
      <c r="X15" s="31">
        <f>W15*O15*P15</f>
        <v>0</v>
      </c>
    </row>
    <row r="16" spans="1:24" x14ac:dyDescent="0.25">
      <c r="A16" s="295"/>
      <c r="B16" s="294"/>
      <c r="C16" s="294"/>
      <c r="D16" s="295"/>
      <c r="E16" s="295"/>
      <c r="F16" s="295"/>
      <c r="G16" s="295"/>
      <c r="H16" s="295"/>
      <c r="I16" s="295"/>
      <c r="J16" s="227">
        <f t="shared" ref="J16:J19" si="2">F16+G16*(E16+1)+H16*E16+I16</f>
        <v>0</v>
      </c>
      <c r="K16" s="31">
        <f>J16*B16*C16</f>
        <v>0</v>
      </c>
      <c r="N16" s="295"/>
      <c r="O16" s="294"/>
      <c r="P16" s="294"/>
      <c r="Q16" s="295"/>
      <c r="R16" s="295"/>
      <c r="S16" s="295"/>
      <c r="T16" s="295"/>
      <c r="U16" s="295"/>
      <c r="V16" s="295"/>
      <c r="W16" s="227">
        <f t="shared" ref="W16:W19" si="3">S16+T16*(R16+1)+U16*R16+V16</f>
        <v>0</v>
      </c>
      <c r="X16" s="31">
        <f>W16*O16*P16</f>
        <v>0</v>
      </c>
    </row>
    <row r="17" spans="1:24" x14ac:dyDescent="0.25">
      <c r="A17" s="295"/>
      <c r="B17" s="294"/>
      <c r="C17" s="294"/>
      <c r="D17" s="295"/>
      <c r="E17" s="295"/>
      <c r="F17" s="295"/>
      <c r="G17" s="295"/>
      <c r="H17" s="295"/>
      <c r="I17" s="295"/>
      <c r="J17" s="227">
        <f t="shared" si="2"/>
        <v>0</v>
      </c>
      <c r="K17" s="31">
        <f>J17*B17*C17</f>
        <v>0</v>
      </c>
      <c r="N17" s="295"/>
      <c r="O17" s="294"/>
      <c r="P17" s="294"/>
      <c r="Q17" s="295"/>
      <c r="R17" s="295"/>
      <c r="S17" s="295"/>
      <c r="T17" s="295"/>
      <c r="U17" s="295"/>
      <c r="V17" s="295"/>
      <c r="W17" s="227">
        <f t="shared" si="3"/>
        <v>0</v>
      </c>
      <c r="X17" s="31">
        <f>W17*O17*P17</f>
        <v>0</v>
      </c>
    </row>
    <row r="18" spans="1:24" x14ac:dyDescent="0.25">
      <c r="A18" s="295"/>
      <c r="B18" s="294"/>
      <c r="C18" s="294"/>
      <c r="D18" s="295"/>
      <c r="E18" s="295"/>
      <c r="F18" s="295"/>
      <c r="G18" s="295"/>
      <c r="H18" s="295"/>
      <c r="I18" s="295"/>
      <c r="J18" s="227">
        <f t="shared" si="2"/>
        <v>0</v>
      </c>
      <c r="K18" s="31">
        <f>J18*B18*C18</f>
        <v>0</v>
      </c>
      <c r="N18" s="295"/>
      <c r="O18" s="294"/>
      <c r="P18" s="294"/>
      <c r="Q18" s="295"/>
      <c r="R18" s="295"/>
      <c r="S18" s="295"/>
      <c r="T18" s="295"/>
      <c r="U18" s="295"/>
      <c r="V18" s="295"/>
      <c r="W18" s="227">
        <f t="shared" si="3"/>
        <v>0</v>
      </c>
      <c r="X18" s="31">
        <f>W18*O18*P18</f>
        <v>0</v>
      </c>
    </row>
    <row r="19" spans="1:24" x14ac:dyDescent="0.25">
      <c r="A19" s="295"/>
      <c r="B19" s="294"/>
      <c r="C19" s="294"/>
      <c r="D19" s="295"/>
      <c r="E19" s="295"/>
      <c r="F19" s="295"/>
      <c r="G19" s="295"/>
      <c r="H19" s="295"/>
      <c r="I19" s="295"/>
      <c r="J19" s="227">
        <f t="shared" si="2"/>
        <v>0</v>
      </c>
      <c r="K19" s="31">
        <f>J19*B19*C19</f>
        <v>0</v>
      </c>
      <c r="N19" s="295"/>
      <c r="O19" s="294"/>
      <c r="P19" s="294"/>
      <c r="Q19" s="295"/>
      <c r="R19" s="295"/>
      <c r="S19" s="295"/>
      <c r="T19" s="295"/>
      <c r="U19" s="295"/>
      <c r="V19" s="295"/>
      <c r="W19" s="227">
        <f t="shared" si="3"/>
        <v>0</v>
      </c>
      <c r="X19" s="31">
        <f>W19*O19*P19</f>
        <v>0</v>
      </c>
    </row>
    <row r="20" spans="1:24" ht="16.5" thickBot="1" x14ac:dyDescent="0.3">
      <c r="A20" s="382" t="s">
        <v>68</v>
      </c>
      <c r="B20" s="382"/>
      <c r="C20" s="382"/>
      <c r="D20" s="382"/>
      <c r="E20" s="382"/>
      <c r="F20" s="382"/>
      <c r="G20" s="382"/>
      <c r="H20" s="382"/>
      <c r="I20" s="382"/>
      <c r="J20" s="382"/>
      <c r="K20" s="73">
        <f>SUM(K15:K19)</f>
        <v>0</v>
      </c>
      <c r="N20" s="382" t="s">
        <v>73</v>
      </c>
      <c r="O20" s="382"/>
      <c r="P20" s="382"/>
      <c r="Q20" s="382"/>
      <c r="R20" s="382"/>
      <c r="S20" s="382"/>
      <c r="T20" s="382"/>
      <c r="U20" s="382"/>
      <c r="V20" s="382"/>
      <c r="W20" s="382"/>
      <c r="X20" s="73">
        <f>SUM(X15:X19)</f>
        <v>0</v>
      </c>
    </row>
    <row r="21" spans="1:24" ht="16.5" thickTop="1" x14ac:dyDescent="0.25">
      <c r="O21" s="82"/>
      <c r="P21" s="82"/>
    </row>
    <row r="22" spans="1:24" x14ac:dyDescent="0.25">
      <c r="O22" s="82"/>
      <c r="P22" s="82"/>
    </row>
    <row r="23" spans="1:24" x14ac:dyDescent="0.25">
      <c r="A23" s="28" t="s">
        <v>61</v>
      </c>
      <c r="B23" s="83"/>
      <c r="C23" s="83"/>
      <c r="D23" s="29"/>
      <c r="E23" s="29"/>
      <c r="F23" s="29"/>
      <c r="G23" s="29"/>
      <c r="H23" s="29"/>
      <c r="I23" s="29"/>
      <c r="J23" s="29"/>
      <c r="K23" s="30"/>
      <c r="N23" s="28" t="s">
        <v>61</v>
      </c>
      <c r="O23" s="83"/>
      <c r="P23" s="83"/>
      <c r="Q23" s="29"/>
      <c r="R23" s="29"/>
      <c r="S23" s="29"/>
      <c r="T23" s="29"/>
      <c r="U23" s="29"/>
      <c r="V23" s="29"/>
      <c r="W23" s="29"/>
      <c r="X23" s="30"/>
    </row>
    <row r="24" spans="1:24" s="70" customFormat="1" ht="31.5" x14ac:dyDescent="0.25">
      <c r="A24" s="74" t="s">
        <v>79</v>
      </c>
      <c r="B24" s="75" t="s">
        <v>19</v>
      </c>
      <c r="C24" s="75" t="s">
        <v>20</v>
      </c>
      <c r="D24" s="75" t="s">
        <v>93</v>
      </c>
      <c r="E24" s="75" t="s">
        <v>101</v>
      </c>
      <c r="F24" s="75" t="s">
        <v>21</v>
      </c>
      <c r="G24" s="75" t="s">
        <v>22</v>
      </c>
      <c r="H24" s="75" t="s">
        <v>104</v>
      </c>
      <c r="I24" s="75" t="s">
        <v>55</v>
      </c>
      <c r="J24" s="75" t="s">
        <v>23</v>
      </c>
      <c r="K24" s="75" t="s">
        <v>10</v>
      </c>
      <c r="N24" s="74" t="s">
        <v>79</v>
      </c>
      <c r="O24" s="75" t="s">
        <v>19</v>
      </c>
      <c r="P24" s="75" t="s">
        <v>20</v>
      </c>
      <c r="Q24" s="75" t="s">
        <v>93</v>
      </c>
      <c r="R24" s="75" t="s">
        <v>101</v>
      </c>
      <c r="S24" s="75" t="s">
        <v>21</v>
      </c>
      <c r="T24" s="75" t="s">
        <v>22</v>
      </c>
      <c r="U24" s="75" t="s">
        <v>104</v>
      </c>
      <c r="V24" s="75" t="s">
        <v>55</v>
      </c>
      <c r="W24" s="75" t="s">
        <v>94</v>
      </c>
      <c r="X24" s="75" t="s">
        <v>10</v>
      </c>
    </row>
    <row r="25" spans="1:24" x14ac:dyDescent="0.25">
      <c r="A25" s="293"/>
      <c r="B25" s="294"/>
      <c r="C25" s="294"/>
      <c r="D25" s="295"/>
      <c r="E25" s="295"/>
      <c r="F25" s="295"/>
      <c r="G25" s="295"/>
      <c r="H25" s="295"/>
      <c r="I25" s="295"/>
      <c r="J25" s="227">
        <f>F25+G25*(E25+1)+H25*E25+I25</f>
        <v>0</v>
      </c>
      <c r="K25" s="31">
        <f>J25*B25*C25</f>
        <v>0</v>
      </c>
      <c r="N25" s="293"/>
      <c r="O25" s="294"/>
      <c r="P25" s="294"/>
      <c r="Q25" s="295"/>
      <c r="R25" s="295"/>
      <c r="S25" s="295"/>
      <c r="T25" s="295"/>
      <c r="U25" s="295"/>
      <c r="V25" s="295"/>
      <c r="W25" s="227">
        <f>S25+T25*(R25+1)+U25*R25+V25</f>
        <v>0</v>
      </c>
      <c r="X25" s="31">
        <f>W25*O25*P25</f>
        <v>0</v>
      </c>
    </row>
    <row r="26" spans="1:24" x14ac:dyDescent="0.25">
      <c r="A26" s="295"/>
      <c r="B26" s="294"/>
      <c r="C26" s="294"/>
      <c r="D26" s="295"/>
      <c r="E26" s="295"/>
      <c r="F26" s="295"/>
      <c r="G26" s="295"/>
      <c r="H26" s="295"/>
      <c r="I26" s="295"/>
      <c r="J26" s="227">
        <f t="shared" ref="J26:J29" si="4">F26+G26*(E26+1)+H26*E26+I26</f>
        <v>0</v>
      </c>
      <c r="K26" s="31">
        <f>J26*B26*C26</f>
        <v>0</v>
      </c>
      <c r="N26" s="295"/>
      <c r="O26" s="294"/>
      <c r="P26" s="294"/>
      <c r="Q26" s="295"/>
      <c r="R26" s="295"/>
      <c r="S26" s="295"/>
      <c r="T26" s="295"/>
      <c r="U26" s="295"/>
      <c r="V26" s="295"/>
      <c r="W26" s="227">
        <f t="shared" ref="W26:W29" si="5">S26+T26*(R26+1)+U26*R26+V26</f>
        <v>0</v>
      </c>
      <c r="X26" s="31">
        <f>W26*O26*P26</f>
        <v>0</v>
      </c>
    </row>
    <row r="27" spans="1:24" x14ac:dyDescent="0.25">
      <c r="A27" s="295"/>
      <c r="B27" s="294"/>
      <c r="C27" s="294"/>
      <c r="D27" s="295"/>
      <c r="E27" s="295"/>
      <c r="F27" s="295"/>
      <c r="G27" s="295"/>
      <c r="H27" s="295"/>
      <c r="I27" s="295"/>
      <c r="J27" s="227">
        <f t="shared" si="4"/>
        <v>0</v>
      </c>
      <c r="K27" s="31">
        <f>J27*B27*C27</f>
        <v>0</v>
      </c>
      <c r="N27" s="295"/>
      <c r="O27" s="294"/>
      <c r="P27" s="294"/>
      <c r="Q27" s="295"/>
      <c r="R27" s="295"/>
      <c r="S27" s="295"/>
      <c r="T27" s="295"/>
      <c r="U27" s="295"/>
      <c r="V27" s="295"/>
      <c r="W27" s="227">
        <f t="shared" si="5"/>
        <v>0</v>
      </c>
      <c r="X27" s="31">
        <f>W27*O27*P27</f>
        <v>0</v>
      </c>
    </row>
    <row r="28" spans="1:24" x14ac:dyDescent="0.25">
      <c r="A28" s="295"/>
      <c r="B28" s="294"/>
      <c r="C28" s="294"/>
      <c r="D28" s="295"/>
      <c r="E28" s="295"/>
      <c r="F28" s="295"/>
      <c r="G28" s="295"/>
      <c r="H28" s="295"/>
      <c r="I28" s="295"/>
      <c r="J28" s="227">
        <f t="shared" si="4"/>
        <v>0</v>
      </c>
      <c r="K28" s="31">
        <f>J28*B28*C28</f>
        <v>0</v>
      </c>
      <c r="N28" s="295"/>
      <c r="O28" s="294"/>
      <c r="P28" s="294"/>
      <c r="Q28" s="295"/>
      <c r="R28" s="295"/>
      <c r="S28" s="295"/>
      <c r="T28" s="295"/>
      <c r="U28" s="295"/>
      <c r="V28" s="295"/>
      <c r="W28" s="227">
        <f t="shared" si="5"/>
        <v>0</v>
      </c>
      <c r="X28" s="31">
        <f>W28*O28*P28</f>
        <v>0</v>
      </c>
    </row>
    <row r="29" spans="1:24" x14ac:dyDescent="0.25">
      <c r="A29" s="295"/>
      <c r="B29" s="294"/>
      <c r="C29" s="294"/>
      <c r="D29" s="295"/>
      <c r="E29" s="295"/>
      <c r="F29" s="295"/>
      <c r="G29" s="295"/>
      <c r="H29" s="295"/>
      <c r="I29" s="295"/>
      <c r="J29" s="227">
        <f t="shared" si="4"/>
        <v>0</v>
      </c>
      <c r="K29" s="31">
        <f>J29*B29*C29</f>
        <v>0</v>
      </c>
      <c r="N29" s="295"/>
      <c r="O29" s="294"/>
      <c r="P29" s="294"/>
      <c r="Q29" s="295"/>
      <c r="R29" s="295"/>
      <c r="S29" s="295"/>
      <c r="T29" s="295"/>
      <c r="U29" s="295"/>
      <c r="V29" s="295"/>
      <c r="W29" s="227">
        <f t="shared" si="5"/>
        <v>0</v>
      </c>
      <c r="X29" s="31">
        <f>W29*O29*P29</f>
        <v>0</v>
      </c>
    </row>
    <row r="30" spans="1:24" ht="16.5" thickBot="1" x14ac:dyDescent="0.3">
      <c r="A30" s="382" t="s">
        <v>69</v>
      </c>
      <c r="B30" s="382"/>
      <c r="C30" s="382"/>
      <c r="D30" s="382"/>
      <c r="E30" s="382"/>
      <c r="F30" s="382"/>
      <c r="G30" s="382"/>
      <c r="H30" s="382"/>
      <c r="I30" s="382"/>
      <c r="J30" s="382"/>
      <c r="K30" s="73">
        <f>SUM(K25:K29)</f>
        <v>0</v>
      </c>
      <c r="N30" s="382" t="s">
        <v>74</v>
      </c>
      <c r="O30" s="382"/>
      <c r="P30" s="382"/>
      <c r="Q30" s="382"/>
      <c r="R30" s="382"/>
      <c r="S30" s="382"/>
      <c r="T30" s="382"/>
      <c r="U30" s="382"/>
      <c r="V30" s="382"/>
      <c r="W30" s="382"/>
      <c r="X30" s="73">
        <f>SUM(X25:X29)</f>
        <v>0</v>
      </c>
    </row>
    <row r="31" spans="1:24" ht="16.5" thickTop="1" x14ac:dyDescent="0.25">
      <c r="O31" s="82"/>
      <c r="P31" s="82"/>
    </row>
    <row r="32" spans="1:24" x14ac:dyDescent="0.25">
      <c r="O32" s="82"/>
      <c r="P32" s="82"/>
    </row>
    <row r="33" spans="1:24" x14ac:dyDescent="0.25">
      <c r="A33" s="28" t="s">
        <v>62</v>
      </c>
      <c r="B33" s="83"/>
      <c r="C33" s="83"/>
      <c r="D33" s="29"/>
      <c r="E33" s="29"/>
      <c r="F33" s="29"/>
      <c r="G33" s="29"/>
      <c r="H33" s="29"/>
      <c r="I33" s="29"/>
      <c r="J33" s="29"/>
      <c r="K33" s="30"/>
      <c r="N33" s="28" t="s">
        <v>62</v>
      </c>
      <c r="O33" s="83"/>
      <c r="P33" s="83"/>
      <c r="Q33" s="29"/>
      <c r="R33" s="29"/>
      <c r="S33" s="29"/>
      <c r="T33" s="29"/>
      <c r="U33" s="29"/>
      <c r="V33" s="29"/>
      <c r="W33" s="29"/>
      <c r="X33" s="30"/>
    </row>
    <row r="34" spans="1:24" s="70" customFormat="1" ht="31.5" x14ac:dyDescent="0.25">
      <c r="A34" s="74" t="s">
        <v>79</v>
      </c>
      <c r="B34" s="75" t="s">
        <v>19</v>
      </c>
      <c r="C34" s="75" t="s">
        <v>20</v>
      </c>
      <c r="D34" s="75" t="s">
        <v>93</v>
      </c>
      <c r="E34" s="75" t="s">
        <v>101</v>
      </c>
      <c r="F34" s="75" t="s">
        <v>21</v>
      </c>
      <c r="G34" s="75" t="s">
        <v>22</v>
      </c>
      <c r="H34" s="75" t="s">
        <v>104</v>
      </c>
      <c r="I34" s="75" t="s">
        <v>55</v>
      </c>
      <c r="J34" s="75" t="s">
        <v>23</v>
      </c>
      <c r="K34" s="75" t="s">
        <v>10</v>
      </c>
      <c r="N34" s="74" t="s">
        <v>79</v>
      </c>
      <c r="O34" s="75" t="s">
        <v>19</v>
      </c>
      <c r="P34" s="75" t="s">
        <v>20</v>
      </c>
      <c r="Q34" s="75" t="s">
        <v>93</v>
      </c>
      <c r="R34" s="75" t="s">
        <v>101</v>
      </c>
      <c r="S34" s="75" t="s">
        <v>21</v>
      </c>
      <c r="T34" s="75" t="s">
        <v>22</v>
      </c>
      <c r="U34" s="75" t="s">
        <v>104</v>
      </c>
      <c r="V34" s="75" t="s">
        <v>55</v>
      </c>
      <c r="W34" s="75" t="s">
        <v>94</v>
      </c>
      <c r="X34" s="75" t="s">
        <v>10</v>
      </c>
    </row>
    <row r="35" spans="1:24" x14ac:dyDescent="0.25">
      <c r="A35" s="293"/>
      <c r="B35" s="294"/>
      <c r="C35" s="294"/>
      <c r="D35" s="295"/>
      <c r="E35" s="295"/>
      <c r="F35" s="295"/>
      <c r="G35" s="295"/>
      <c r="H35" s="295"/>
      <c r="I35" s="295"/>
      <c r="J35" s="227">
        <f>F35+G35*(E35+1)+H35*E35+I35</f>
        <v>0</v>
      </c>
      <c r="K35" s="31">
        <f>J35*B35*C35</f>
        <v>0</v>
      </c>
      <c r="N35" s="296"/>
      <c r="O35" s="294"/>
      <c r="P35" s="294"/>
      <c r="Q35" s="295"/>
      <c r="R35" s="295"/>
      <c r="S35" s="295"/>
      <c r="T35" s="295"/>
      <c r="U35" s="295"/>
      <c r="V35" s="295"/>
      <c r="W35" s="227">
        <f>S35+T35*(R35+1)+U35*R35+V35</f>
        <v>0</v>
      </c>
      <c r="X35" s="31">
        <f>W35*O35*P35</f>
        <v>0</v>
      </c>
    </row>
    <row r="36" spans="1:24" x14ac:dyDescent="0.25">
      <c r="A36" s="296"/>
      <c r="B36" s="297"/>
      <c r="C36" s="297"/>
      <c r="D36" s="296"/>
      <c r="E36" s="296"/>
      <c r="F36" s="296"/>
      <c r="G36" s="296"/>
      <c r="H36" s="296"/>
      <c r="I36" s="296"/>
      <c r="J36" s="227">
        <f t="shared" ref="J36:J39" si="6">F36+G36*(E36+1)+H36*E36+I36</f>
        <v>0</v>
      </c>
      <c r="K36" s="31">
        <f>J36*B36*C36</f>
        <v>0</v>
      </c>
      <c r="N36" s="296"/>
      <c r="O36" s="297"/>
      <c r="P36" s="297"/>
      <c r="Q36" s="296"/>
      <c r="R36" s="296"/>
      <c r="S36" s="296"/>
      <c r="T36" s="296"/>
      <c r="U36" s="296"/>
      <c r="V36" s="296"/>
      <c r="W36" s="227">
        <f t="shared" ref="W36:W39" si="7">S36+T36*(R36+1)+U36*R36+V36</f>
        <v>0</v>
      </c>
      <c r="X36" s="31">
        <f>W36*O36*P36</f>
        <v>0</v>
      </c>
    </row>
    <row r="37" spans="1:24" x14ac:dyDescent="0.25">
      <c r="A37" s="296"/>
      <c r="B37" s="297"/>
      <c r="C37" s="297"/>
      <c r="D37" s="296"/>
      <c r="E37" s="296"/>
      <c r="F37" s="296"/>
      <c r="G37" s="296"/>
      <c r="H37" s="296"/>
      <c r="I37" s="296"/>
      <c r="J37" s="227">
        <f t="shared" si="6"/>
        <v>0</v>
      </c>
      <c r="K37" s="31">
        <f>J37*B37*C37</f>
        <v>0</v>
      </c>
      <c r="N37" s="296"/>
      <c r="O37" s="297"/>
      <c r="P37" s="297"/>
      <c r="Q37" s="296"/>
      <c r="R37" s="296"/>
      <c r="S37" s="296"/>
      <c r="T37" s="296"/>
      <c r="U37" s="296"/>
      <c r="V37" s="296"/>
      <c r="W37" s="227">
        <f t="shared" si="7"/>
        <v>0</v>
      </c>
      <c r="X37" s="31">
        <f>W37*O37*P37</f>
        <v>0</v>
      </c>
    </row>
    <row r="38" spans="1:24" x14ac:dyDescent="0.25">
      <c r="A38" s="296"/>
      <c r="B38" s="297"/>
      <c r="C38" s="297"/>
      <c r="D38" s="296"/>
      <c r="E38" s="296"/>
      <c r="F38" s="296"/>
      <c r="G38" s="296"/>
      <c r="H38" s="296"/>
      <c r="I38" s="296"/>
      <c r="J38" s="227">
        <f t="shared" si="6"/>
        <v>0</v>
      </c>
      <c r="K38" s="31">
        <f>J38*B38*C38</f>
        <v>0</v>
      </c>
      <c r="N38" s="296"/>
      <c r="O38" s="297"/>
      <c r="P38" s="297"/>
      <c r="Q38" s="296"/>
      <c r="R38" s="296"/>
      <c r="S38" s="296"/>
      <c r="T38" s="296"/>
      <c r="U38" s="296"/>
      <c r="V38" s="296"/>
      <c r="W38" s="227">
        <f t="shared" si="7"/>
        <v>0</v>
      </c>
      <c r="X38" s="31">
        <f>W38*O38*P38</f>
        <v>0</v>
      </c>
    </row>
    <row r="39" spans="1:24" x14ac:dyDescent="0.25">
      <c r="A39" s="296"/>
      <c r="B39" s="297"/>
      <c r="C39" s="297"/>
      <c r="D39" s="296"/>
      <c r="E39" s="296"/>
      <c r="F39" s="296"/>
      <c r="G39" s="296"/>
      <c r="H39" s="296"/>
      <c r="I39" s="296"/>
      <c r="J39" s="227">
        <f t="shared" si="6"/>
        <v>0</v>
      </c>
      <c r="K39" s="31">
        <f>J39*B39*C39</f>
        <v>0</v>
      </c>
      <c r="N39" s="296"/>
      <c r="O39" s="297"/>
      <c r="P39" s="297"/>
      <c r="Q39" s="296"/>
      <c r="R39" s="296"/>
      <c r="S39" s="296"/>
      <c r="T39" s="296"/>
      <c r="U39" s="296"/>
      <c r="V39" s="296"/>
      <c r="W39" s="227">
        <f t="shared" si="7"/>
        <v>0</v>
      </c>
      <c r="X39" s="31">
        <f>W39*O39*P39</f>
        <v>0</v>
      </c>
    </row>
    <row r="40" spans="1:24" ht="16.5" thickBot="1" x14ac:dyDescent="0.3">
      <c r="A40" s="382" t="s">
        <v>70</v>
      </c>
      <c r="B40" s="382"/>
      <c r="C40" s="382"/>
      <c r="D40" s="382"/>
      <c r="E40" s="382"/>
      <c r="F40" s="382"/>
      <c r="G40" s="382"/>
      <c r="H40" s="382"/>
      <c r="I40" s="382"/>
      <c r="J40" s="382"/>
      <c r="K40" s="73">
        <f>SUM(K35:K39)</f>
        <v>0</v>
      </c>
      <c r="N40" s="382" t="s">
        <v>75</v>
      </c>
      <c r="O40" s="382"/>
      <c r="P40" s="382"/>
      <c r="Q40" s="382"/>
      <c r="R40" s="382"/>
      <c r="S40" s="382"/>
      <c r="T40" s="382"/>
      <c r="U40" s="382"/>
      <c r="V40" s="382"/>
      <c r="W40" s="382"/>
      <c r="X40" s="73">
        <f>SUM(X35:X39)</f>
        <v>0</v>
      </c>
    </row>
    <row r="41" spans="1:24" ht="16.5" thickTop="1" x14ac:dyDescent="0.25">
      <c r="O41" s="82"/>
      <c r="P41" s="82"/>
    </row>
    <row r="42" spans="1:24" x14ac:dyDescent="0.25">
      <c r="O42" s="82"/>
      <c r="P42" s="82"/>
    </row>
    <row r="43" spans="1:24" x14ac:dyDescent="0.25">
      <c r="A43" s="28" t="s">
        <v>63</v>
      </c>
      <c r="B43" s="83"/>
      <c r="C43" s="83"/>
      <c r="D43" s="29"/>
      <c r="E43" s="29"/>
      <c r="F43" s="29"/>
      <c r="G43" s="29"/>
      <c r="H43" s="29"/>
      <c r="I43" s="29"/>
      <c r="J43" s="29"/>
      <c r="K43" s="30"/>
      <c r="N43" s="28" t="s">
        <v>63</v>
      </c>
      <c r="O43" s="83"/>
      <c r="P43" s="83"/>
      <c r="Q43" s="29"/>
      <c r="R43" s="29"/>
      <c r="S43" s="29"/>
      <c r="T43" s="29"/>
      <c r="U43" s="29"/>
      <c r="V43" s="29"/>
      <c r="W43" s="29"/>
      <c r="X43" s="30"/>
    </row>
    <row r="44" spans="1:24" s="70" customFormat="1" ht="31.5" x14ac:dyDescent="0.25">
      <c r="A44" s="74" t="s">
        <v>79</v>
      </c>
      <c r="B44" s="75" t="s">
        <v>19</v>
      </c>
      <c r="C44" s="75" t="s">
        <v>20</v>
      </c>
      <c r="D44" s="75" t="s">
        <v>93</v>
      </c>
      <c r="E44" s="75" t="s">
        <v>101</v>
      </c>
      <c r="F44" s="75" t="s">
        <v>21</v>
      </c>
      <c r="G44" s="75" t="s">
        <v>22</v>
      </c>
      <c r="H44" s="75" t="s">
        <v>104</v>
      </c>
      <c r="I44" s="75" t="s">
        <v>55</v>
      </c>
      <c r="J44" s="75" t="s">
        <v>23</v>
      </c>
      <c r="K44" s="75" t="s">
        <v>10</v>
      </c>
      <c r="N44" s="74" t="s">
        <v>79</v>
      </c>
      <c r="O44" s="75" t="s">
        <v>19</v>
      </c>
      <c r="P44" s="75" t="s">
        <v>20</v>
      </c>
      <c r="Q44" s="75" t="s">
        <v>93</v>
      </c>
      <c r="R44" s="75" t="s">
        <v>101</v>
      </c>
      <c r="S44" s="75" t="s">
        <v>21</v>
      </c>
      <c r="T44" s="75" t="s">
        <v>22</v>
      </c>
      <c r="U44" s="75" t="s">
        <v>104</v>
      </c>
      <c r="V44" s="75" t="s">
        <v>55</v>
      </c>
      <c r="W44" s="75" t="s">
        <v>94</v>
      </c>
      <c r="X44" s="75" t="s">
        <v>10</v>
      </c>
    </row>
    <row r="45" spans="1:24" x14ac:dyDescent="0.25">
      <c r="A45" s="293"/>
      <c r="B45" s="294"/>
      <c r="C45" s="294"/>
      <c r="D45" s="295"/>
      <c r="E45" s="295"/>
      <c r="F45" s="295"/>
      <c r="G45" s="295"/>
      <c r="H45" s="295"/>
      <c r="I45" s="295"/>
      <c r="J45" s="227">
        <f>F45+G45*(E45+1)+H45*E45+I45</f>
        <v>0</v>
      </c>
      <c r="K45" s="31">
        <f>J45*B45*C45</f>
        <v>0</v>
      </c>
      <c r="N45" s="296"/>
      <c r="O45" s="294"/>
      <c r="P45" s="294"/>
      <c r="Q45" s="295"/>
      <c r="R45" s="295"/>
      <c r="S45" s="295"/>
      <c r="T45" s="295"/>
      <c r="U45" s="295"/>
      <c r="V45" s="295"/>
      <c r="W45" s="227">
        <f>S45+T45*(R45+1)+U45*R45+V45</f>
        <v>0</v>
      </c>
      <c r="X45" s="31">
        <f>W45*O45*P45</f>
        <v>0</v>
      </c>
    </row>
    <row r="46" spans="1:24" x14ac:dyDescent="0.25">
      <c r="A46" s="296"/>
      <c r="B46" s="297"/>
      <c r="C46" s="297"/>
      <c r="D46" s="296"/>
      <c r="E46" s="296"/>
      <c r="F46" s="296"/>
      <c r="G46" s="296"/>
      <c r="H46" s="296"/>
      <c r="I46" s="296"/>
      <c r="J46" s="227">
        <f t="shared" ref="J46:J49" si="8">F46+G46*(E46+1)+H46*E46+I46</f>
        <v>0</v>
      </c>
      <c r="K46" s="31">
        <f>J46*B46*C46</f>
        <v>0</v>
      </c>
      <c r="N46" s="296"/>
      <c r="O46" s="297"/>
      <c r="P46" s="297"/>
      <c r="Q46" s="296"/>
      <c r="R46" s="296"/>
      <c r="S46" s="296"/>
      <c r="T46" s="296"/>
      <c r="U46" s="296"/>
      <c r="V46" s="296"/>
      <c r="W46" s="227">
        <f t="shared" ref="W46:W49" si="9">S46+T46*(R46+1)+U46*R46+V46</f>
        <v>0</v>
      </c>
      <c r="X46" s="31">
        <f>W46*O46*P46</f>
        <v>0</v>
      </c>
    </row>
    <row r="47" spans="1:24" x14ac:dyDescent="0.25">
      <c r="A47" s="296"/>
      <c r="B47" s="297"/>
      <c r="C47" s="297"/>
      <c r="D47" s="296"/>
      <c r="E47" s="296"/>
      <c r="F47" s="296"/>
      <c r="G47" s="296"/>
      <c r="H47" s="296"/>
      <c r="I47" s="296"/>
      <c r="J47" s="227">
        <f t="shared" si="8"/>
        <v>0</v>
      </c>
      <c r="K47" s="31">
        <f>J47*B47*C47</f>
        <v>0</v>
      </c>
      <c r="N47" s="296"/>
      <c r="O47" s="297"/>
      <c r="P47" s="297"/>
      <c r="Q47" s="296"/>
      <c r="R47" s="296"/>
      <c r="S47" s="296"/>
      <c r="T47" s="296"/>
      <c r="U47" s="296"/>
      <c r="V47" s="296"/>
      <c r="W47" s="227">
        <f t="shared" si="9"/>
        <v>0</v>
      </c>
      <c r="X47" s="31">
        <f>W47*O47*P47</f>
        <v>0</v>
      </c>
    </row>
    <row r="48" spans="1:24" x14ac:dyDescent="0.25">
      <c r="A48" s="296"/>
      <c r="B48" s="297"/>
      <c r="C48" s="297"/>
      <c r="D48" s="296"/>
      <c r="E48" s="296"/>
      <c r="F48" s="296"/>
      <c r="G48" s="296"/>
      <c r="H48" s="296"/>
      <c r="I48" s="296"/>
      <c r="J48" s="227">
        <f t="shared" si="8"/>
        <v>0</v>
      </c>
      <c r="K48" s="31">
        <f>J48*B48*C48</f>
        <v>0</v>
      </c>
      <c r="N48" s="296"/>
      <c r="O48" s="297"/>
      <c r="P48" s="297"/>
      <c r="Q48" s="296"/>
      <c r="R48" s="296"/>
      <c r="S48" s="296"/>
      <c r="T48" s="296"/>
      <c r="U48" s="296"/>
      <c r="V48" s="296"/>
      <c r="W48" s="227">
        <f t="shared" si="9"/>
        <v>0</v>
      </c>
      <c r="X48" s="31">
        <f>W48*O48*P48</f>
        <v>0</v>
      </c>
    </row>
    <row r="49" spans="1:24" x14ac:dyDescent="0.25">
      <c r="A49" s="296"/>
      <c r="B49" s="297"/>
      <c r="C49" s="297"/>
      <c r="D49" s="296"/>
      <c r="E49" s="296"/>
      <c r="F49" s="296"/>
      <c r="G49" s="296"/>
      <c r="H49" s="296"/>
      <c r="I49" s="296"/>
      <c r="J49" s="227">
        <f t="shared" si="8"/>
        <v>0</v>
      </c>
      <c r="K49" s="31">
        <f>J49*B49*C49</f>
        <v>0</v>
      </c>
      <c r="N49" s="296"/>
      <c r="O49" s="297"/>
      <c r="P49" s="297"/>
      <c r="Q49" s="296"/>
      <c r="R49" s="296"/>
      <c r="S49" s="296"/>
      <c r="T49" s="296"/>
      <c r="U49" s="296"/>
      <c r="V49" s="296"/>
      <c r="W49" s="227">
        <f t="shared" si="9"/>
        <v>0</v>
      </c>
      <c r="X49" s="31">
        <f>W49*O49*P49</f>
        <v>0</v>
      </c>
    </row>
    <row r="50" spans="1:24" ht="16.5" thickBot="1" x14ac:dyDescent="0.3">
      <c r="A50" s="382" t="s">
        <v>71</v>
      </c>
      <c r="B50" s="382"/>
      <c r="C50" s="382"/>
      <c r="D50" s="382"/>
      <c r="E50" s="382"/>
      <c r="F50" s="382"/>
      <c r="G50" s="382"/>
      <c r="H50" s="382"/>
      <c r="I50" s="382"/>
      <c r="J50" s="382"/>
      <c r="K50" s="73">
        <f>SUM(K45:K49)</f>
        <v>0</v>
      </c>
      <c r="N50" s="382" t="s">
        <v>76</v>
      </c>
      <c r="O50" s="382"/>
      <c r="P50" s="382"/>
      <c r="Q50" s="382"/>
      <c r="R50" s="382"/>
      <c r="S50" s="382"/>
      <c r="T50" s="382"/>
      <c r="U50" s="382"/>
      <c r="V50" s="382"/>
      <c r="W50" s="382"/>
      <c r="X50" s="73">
        <f>SUM(X45:X49)</f>
        <v>0</v>
      </c>
    </row>
    <row r="51" spans="1:24" ht="16.5" thickTop="1" x14ac:dyDescent="0.25">
      <c r="O51" s="82"/>
      <c r="P51" s="82"/>
    </row>
    <row r="52" spans="1:24" x14ac:dyDescent="0.25">
      <c r="J52" s="94" t="s">
        <v>27</v>
      </c>
      <c r="K52" s="32">
        <f>K10+K20+K30+K40+K50</f>
        <v>0</v>
      </c>
      <c r="O52" s="82"/>
      <c r="P52" s="82"/>
      <c r="W52" s="94" t="s">
        <v>27</v>
      </c>
      <c r="X52" s="32">
        <f>X10+X20+X30+X40+X50</f>
        <v>0</v>
      </c>
    </row>
  </sheetData>
  <mergeCells count="10">
    <mergeCell ref="N10:W10"/>
    <mergeCell ref="N20:W20"/>
    <mergeCell ref="N30:W30"/>
    <mergeCell ref="N40:W40"/>
    <mergeCell ref="N50:W50"/>
    <mergeCell ref="A10:J10"/>
    <mergeCell ref="A20:J20"/>
    <mergeCell ref="A30:J30"/>
    <mergeCell ref="A40:J40"/>
    <mergeCell ref="A50:J50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7"/>
  <sheetViews>
    <sheetView zoomScale="80" zoomScaleNormal="80" workbookViewId="0">
      <selection activeCell="N67" sqref="N67"/>
    </sheetView>
  </sheetViews>
  <sheetFormatPr defaultColWidth="8.7109375" defaultRowHeight="12.75" x14ac:dyDescent="0.2"/>
  <cols>
    <col min="1" max="1" width="33.42578125" style="118" bestFit="1" customWidth="1"/>
    <col min="2" max="2" width="35.42578125" style="118" bestFit="1" customWidth="1"/>
    <col min="3" max="3" width="26.42578125" style="118" bestFit="1" customWidth="1"/>
    <col min="4" max="4" width="31.42578125" style="118" bestFit="1" customWidth="1"/>
    <col min="5" max="5" width="10.42578125" style="118" bestFit="1" customWidth="1"/>
    <col min="6" max="16384" width="8.7109375" style="118"/>
  </cols>
  <sheetData>
    <row r="1" spans="1:5" ht="18.75" x14ac:dyDescent="0.3">
      <c r="A1" s="38" t="s">
        <v>44</v>
      </c>
    </row>
    <row r="2" spans="1:5" ht="15.75" customHeight="1" x14ac:dyDescent="0.2"/>
    <row r="3" spans="1:5" ht="15.75" x14ac:dyDescent="0.25">
      <c r="A3" s="383" t="s">
        <v>36</v>
      </c>
      <c r="B3" s="384"/>
      <c r="C3" s="384"/>
      <c r="D3" s="384"/>
      <c r="E3" s="385"/>
    </row>
    <row r="4" spans="1:5" ht="15.75" x14ac:dyDescent="0.2">
      <c r="A4" s="71" t="s">
        <v>114</v>
      </c>
      <c r="B4" s="71" t="s">
        <v>115</v>
      </c>
      <c r="C4" s="71" t="s">
        <v>116</v>
      </c>
      <c r="D4" s="71" t="s">
        <v>117</v>
      </c>
      <c r="E4" s="119" t="s">
        <v>10</v>
      </c>
    </row>
    <row r="5" spans="1:5" ht="15.75" x14ac:dyDescent="0.25">
      <c r="A5" s="298"/>
      <c r="B5" s="298" t="s">
        <v>140</v>
      </c>
      <c r="C5" s="299"/>
      <c r="D5" s="300"/>
      <c r="E5" s="120">
        <f>C5*D5</f>
        <v>0</v>
      </c>
    </row>
    <row r="6" spans="1:5" ht="15.75" x14ac:dyDescent="0.25">
      <c r="A6" s="298"/>
      <c r="B6" s="298" t="s">
        <v>141</v>
      </c>
      <c r="C6" s="299"/>
      <c r="D6" s="300"/>
      <c r="E6" s="120">
        <f t="shared" ref="E6:E9" si="0">C6*D6</f>
        <v>0</v>
      </c>
    </row>
    <row r="7" spans="1:5" ht="15.75" x14ac:dyDescent="0.25">
      <c r="A7" s="298"/>
      <c r="B7" s="298" t="s">
        <v>11</v>
      </c>
      <c r="C7" s="299"/>
      <c r="D7" s="300"/>
      <c r="E7" s="120">
        <f t="shared" si="0"/>
        <v>0</v>
      </c>
    </row>
    <row r="8" spans="1:5" ht="15.75" x14ac:dyDescent="0.25">
      <c r="A8" s="298"/>
      <c r="B8" s="298" t="s">
        <v>142</v>
      </c>
      <c r="C8" s="299"/>
      <c r="D8" s="300"/>
      <c r="E8" s="121">
        <f t="shared" si="0"/>
        <v>0</v>
      </c>
    </row>
    <row r="9" spans="1:5" ht="15.75" x14ac:dyDescent="0.25">
      <c r="A9" s="293"/>
      <c r="B9" s="298" t="s">
        <v>143</v>
      </c>
      <c r="C9" s="299"/>
      <c r="D9" s="300"/>
      <c r="E9" s="121">
        <f t="shared" si="0"/>
        <v>0</v>
      </c>
    </row>
    <row r="10" spans="1:5" ht="15.75" x14ac:dyDescent="0.2">
      <c r="A10" s="293"/>
      <c r="B10" s="293"/>
      <c r="C10" s="301"/>
      <c r="D10" s="302"/>
      <c r="E10" s="121">
        <f>C10*D10</f>
        <v>0</v>
      </c>
    </row>
    <row r="11" spans="1:5" ht="15.75" x14ac:dyDescent="0.2">
      <c r="A11" s="293"/>
      <c r="B11" s="293"/>
      <c r="C11" s="301"/>
      <c r="D11" s="302"/>
      <c r="E11" s="121">
        <f t="shared" ref="E11:E14" si="1">C11*D11</f>
        <v>0</v>
      </c>
    </row>
    <row r="12" spans="1:5" ht="15.75" x14ac:dyDescent="0.2">
      <c r="A12" s="293"/>
      <c r="B12" s="293"/>
      <c r="C12" s="301"/>
      <c r="D12" s="302"/>
      <c r="E12" s="121">
        <f t="shared" si="1"/>
        <v>0</v>
      </c>
    </row>
    <row r="13" spans="1:5" ht="15.75" x14ac:dyDescent="0.2">
      <c r="A13" s="293"/>
      <c r="B13" s="293"/>
      <c r="C13" s="301"/>
      <c r="D13" s="302"/>
      <c r="E13" s="121">
        <f t="shared" si="1"/>
        <v>0</v>
      </c>
    </row>
    <row r="14" spans="1:5" ht="15.75" x14ac:dyDescent="0.2">
      <c r="A14" s="293"/>
      <c r="B14" s="293"/>
      <c r="C14" s="301"/>
      <c r="D14" s="302"/>
      <c r="E14" s="121">
        <f t="shared" si="1"/>
        <v>0</v>
      </c>
    </row>
    <row r="15" spans="1:5" ht="16.5" thickBot="1" x14ac:dyDescent="0.3">
      <c r="A15" s="382" t="s">
        <v>118</v>
      </c>
      <c r="B15" s="382"/>
      <c r="C15" s="382"/>
      <c r="D15" s="382"/>
      <c r="E15" s="122">
        <f>SUM(E5:E14)</f>
        <v>0</v>
      </c>
    </row>
    <row r="16" spans="1:5" ht="16.5" thickTop="1" x14ac:dyDescent="0.25">
      <c r="A16" s="12"/>
      <c r="B16" s="12"/>
      <c r="C16" s="82"/>
      <c r="D16" s="12"/>
      <c r="E16" s="12"/>
    </row>
    <row r="17" spans="1:5" ht="15.75" x14ac:dyDescent="0.25">
      <c r="A17" s="12"/>
      <c r="B17" s="12"/>
      <c r="C17" s="82"/>
      <c r="D17" s="12"/>
      <c r="E17" s="12"/>
    </row>
    <row r="18" spans="1:5" ht="15.75" x14ac:dyDescent="0.25">
      <c r="A18" s="28" t="s">
        <v>60</v>
      </c>
      <c r="B18" s="29"/>
      <c r="C18" s="83"/>
      <c r="D18" s="29"/>
      <c r="E18" s="30"/>
    </row>
    <row r="19" spans="1:5" ht="15.75" x14ac:dyDescent="0.25">
      <c r="A19" s="71" t="s">
        <v>114</v>
      </c>
      <c r="B19" s="71" t="s">
        <v>115</v>
      </c>
      <c r="C19" s="71" t="s">
        <v>116</v>
      </c>
      <c r="D19" s="71" t="s">
        <v>117</v>
      </c>
      <c r="E19" s="72" t="s">
        <v>10</v>
      </c>
    </row>
    <row r="20" spans="1:5" ht="15.75" x14ac:dyDescent="0.25">
      <c r="A20" s="298"/>
      <c r="B20" s="298" t="s">
        <v>140</v>
      </c>
      <c r="C20" s="299"/>
      <c r="D20" s="300"/>
      <c r="E20" s="120">
        <f>C20*D20</f>
        <v>0</v>
      </c>
    </row>
    <row r="21" spans="1:5" ht="15.75" x14ac:dyDescent="0.25">
      <c r="A21" s="298"/>
      <c r="B21" s="298" t="s">
        <v>141</v>
      </c>
      <c r="C21" s="299"/>
      <c r="D21" s="300"/>
      <c r="E21" s="120">
        <f t="shared" ref="E21:E24" si="2">C21*D21</f>
        <v>0</v>
      </c>
    </row>
    <row r="22" spans="1:5" ht="15.75" x14ac:dyDescent="0.25">
      <c r="A22" s="298"/>
      <c r="B22" s="298" t="s">
        <v>11</v>
      </c>
      <c r="C22" s="299"/>
      <c r="D22" s="300"/>
      <c r="E22" s="120">
        <f t="shared" si="2"/>
        <v>0</v>
      </c>
    </row>
    <row r="23" spans="1:5" ht="15.75" x14ac:dyDescent="0.25">
      <c r="A23" s="298"/>
      <c r="B23" s="298" t="s">
        <v>142</v>
      </c>
      <c r="C23" s="299"/>
      <c r="D23" s="300"/>
      <c r="E23" s="120">
        <f t="shared" si="2"/>
        <v>0</v>
      </c>
    </row>
    <row r="24" spans="1:5" ht="15.75" x14ac:dyDescent="0.25">
      <c r="A24" s="293"/>
      <c r="B24" s="298" t="s">
        <v>143</v>
      </c>
      <c r="C24" s="299"/>
      <c r="D24" s="300"/>
      <c r="E24" s="120">
        <f t="shared" si="2"/>
        <v>0</v>
      </c>
    </row>
    <row r="25" spans="1:5" ht="15.75" x14ac:dyDescent="0.25">
      <c r="A25" s="295"/>
      <c r="B25" s="293"/>
      <c r="C25" s="294"/>
      <c r="D25" s="303"/>
      <c r="E25" s="120">
        <f>C25*D25</f>
        <v>0</v>
      </c>
    </row>
    <row r="26" spans="1:5" ht="15.75" x14ac:dyDescent="0.25">
      <c r="A26" s="295"/>
      <c r="B26" s="295"/>
      <c r="C26" s="294"/>
      <c r="D26" s="303"/>
      <c r="E26" s="120">
        <f t="shared" ref="E26:E29" si="3">C26*D26</f>
        <v>0</v>
      </c>
    </row>
    <row r="27" spans="1:5" ht="15.75" x14ac:dyDescent="0.25">
      <c r="A27" s="295"/>
      <c r="B27" s="295"/>
      <c r="C27" s="294"/>
      <c r="D27" s="303"/>
      <c r="E27" s="120">
        <f t="shared" si="3"/>
        <v>0</v>
      </c>
    </row>
    <row r="28" spans="1:5" ht="15.75" x14ac:dyDescent="0.25">
      <c r="A28" s="295"/>
      <c r="B28" s="295"/>
      <c r="C28" s="294"/>
      <c r="D28" s="303"/>
      <c r="E28" s="120">
        <f t="shared" si="3"/>
        <v>0</v>
      </c>
    </row>
    <row r="29" spans="1:5" ht="15.75" x14ac:dyDescent="0.25">
      <c r="A29" s="295"/>
      <c r="B29" s="295"/>
      <c r="C29" s="294"/>
      <c r="D29" s="303"/>
      <c r="E29" s="120">
        <f t="shared" si="3"/>
        <v>0</v>
      </c>
    </row>
    <row r="30" spans="1:5" ht="16.5" thickBot="1" x14ac:dyDescent="0.3">
      <c r="A30" s="382" t="s">
        <v>119</v>
      </c>
      <c r="B30" s="382"/>
      <c r="C30" s="382"/>
      <c r="D30" s="382"/>
      <c r="E30" s="123">
        <f>SUM(E20:E29)</f>
        <v>0</v>
      </c>
    </row>
    <row r="31" spans="1:5" ht="16.5" thickTop="1" x14ac:dyDescent="0.25">
      <c r="A31" s="12"/>
      <c r="B31" s="12"/>
      <c r="C31" s="82"/>
      <c r="D31" s="12"/>
      <c r="E31" s="12"/>
    </row>
    <row r="32" spans="1:5" ht="15.75" x14ac:dyDescent="0.25">
      <c r="A32" s="12"/>
      <c r="B32" s="12"/>
      <c r="C32" s="82"/>
      <c r="D32" s="12"/>
      <c r="E32" s="12"/>
    </row>
    <row r="33" spans="1:5" ht="15.75" x14ac:dyDescent="0.25">
      <c r="A33" s="28" t="s">
        <v>61</v>
      </c>
      <c r="B33" s="29"/>
      <c r="C33" s="83"/>
      <c r="D33" s="29"/>
      <c r="E33" s="30"/>
    </row>
    <row r="34" spans="1:5" ht="15.75" x14ac:dyDescent="0.25">
      <c r="A34" s="71" t="s">
        <v>114</v>
      </c>
      <c r="B34" s="71" t="s">
        <v>115</v>
      </c>
      <c r="C34" s="71" t="s">
        <v>116</v>
      </c>
      <c r="D34" s="71" t="s">
        <v>117</v>
      </c>
      <c r="E34" s="72" t="s">
        <v>10</v>
      </c>
    </row>
    <row r="35" spans="1:5" ht="15.75" x14ac:dyDescent="0.25">
      <c r="A35" s="298"/>
      <c r="B35" s="298" t="s">
        <v>140</v>
      </c>
      <c r="C35" s="299"/>
      <c r="D35" s="300"/>
      <c r="E35" s="120">
        <f>C35*D35</f>
        <v>0</v>
      </c>
    </row>
    <row r="36" spans="1:5" ht="15.75" x14ac:dyDescent="0.25">
      <c r="A36" s="298"/>
      <c r="B36" s="298" t="s">
        <v>141</v>
      </c>
      <c r="C36" s="299"/>
      <c r="D36" s="300"/>
      <c r="E36" s="120">
        <f t="shared" ref="E36:E39" si="4">C36*D36</f>
        <v>0</v>
      </c>
    </row>
    <row r="37" spans="1:5" ht="15.75" x14ac:dyDescent="0.25">
      <c r="A37" s="298"/>
      <c r="B37" s="298" t="s">
        <v>11</v>
      </c>
      <c r="C37" s="299"/>
      <c r="D37" s="300"/>
      <c r="E37" s="120">
        <f t="shared" si="4"/>
        <v>0</v>
      </c>
    </row>
    <row r="38" spans="1:5" ht="15.75" x14ac:dyDescent="0.25">
      <c r="A38" s="298"/>
      <c r="B38" s="298" t="s">
        <v>142</v>
      </c>
      <c r="C38" s="299"/>
      <c r="D38" s="300"/>
      <c r="E38" s="120">
        <f t="shared" si="4"/>
        <v>0</v>
      </c>
    </row>
    <row r="39" spans="1:5" ht="15.75" x14ac:dyDescent="0.25">
      <c r="A39" s="293"/>
      <c r="B39" s="298" t="s">
        <v>143</v>
      </c>
      <c r="C39" s="299"/>
      <c r="D39" s="300"/>
      <c r="E39" s="120">
        <f t="shared" si="4"/>
        <v>0</v>
      </c>
    </row>
    <row r="40" spans="1:5" ht="15.75" x14ac:dyDescent="0.25">
      <c r="A40" s="295"/>
      <c r="B40" s="293"/>
      <c r="C40" s="294"/>
      <c r="D40" s="303"/>
      <c r="E40" s="120">
        <f>C40*D40</f>
        <v>0</v>
      </c>
    </row>
    <row r="41" spans="1:5" ht="15.75" x14ac:dyDescent="0.25">
      <c r="A41" s="295"/>
      <c r="B41" s="295"/>
      <c r="C41" s="294"/>
      <c r="D41" s="303"/>
      <c r="E41" s="120">
        <f t="shared" ref="E41:E44" si="5">C41*D41</f>
        <v>0</v>
      </c>
    </row>
    <row r="42" spans="1:5" ht="15.75" x14ac:dyDescent="0.25">
      <c r="A42" s="295"/>
      <c r="B42" s="295"/>
      <c r="C42" s="294"/>
      <c r="D42" s="303"/>
      <c r="E42" s="120">
        <f t="shared" si="5"/>
        <v>0</v>
      </c>
    </row>
    <row r="43" spans="1:5" ht="15.75" x14ac:dyDescent="0.25">
      <c r="A43" s="295"/>
      <c r="B43" s="295"/>
      <c r="C43" s="294"/>
      <c r="D43" s="303"/>
      <c r="E43" s="120">
        <f t="shared" si="5"/>
        <v>0</v>
      </c>
    </row>
    <row r="44" spans="1:5" ht="15.75" x14ac:dyDescent="0.25">
      <c r="A44" s="295"/>
      <c r="B44" s="295"/>
      <c r="C44" s="294"/>
      <c r="D44" s="303"/>
      <c r="E44" s="120">
        <f t="shared" si="5"/>
        <v>0</v>
      </c>
    </row>
    <row r="45" spans="1:5" ht="16.5" thickBot="1" x14ac:dyDescent="0.3">
      <c r="A45" s="382" t="s">
        <v>120</v>
      </c>
      <c r="B45" s="382"/>
      <c r="C45" s="382"/>
      <c r="D45" s="382"/>
      <c r="E45" s="123">
        <f>SUM(E35:E44)</f>
        <v>0</v>
      </c>
    </row>
    <row r="46" spans="1:5" ht="16.5" thickTop="1" x14ac:dyDescent="0.25">
      <c r="A46" s="12"/>
      <c r="B46" s="12"/>
      <c r="C46" s="82"/>
      <c r="D46" s="12"/>
      <c r="E46" s="12"/>
    </row>
    <row r="47" spans="1:5" ht="15.75" x14ac:dyDescent="0.25">
      <c r="A47" s="12"/>
      <c r="B47" s="12"/>
      <c r="C47" s="82"/>
      <c r="D47" s="12"/>
      <c r="E47" s="12"/>
    </row>
    <row r="48" spans="1:5" ht="15.75" x14ac:dyDescent="0.25">
      <c r="A48" s="28" t="s">
        <v>62</v>
      </c>
      <c r="B48" s="29"/>
      <c r="C48" s="83"/>
      <c r="D48" s="29"/>
      <c r="E48" s="30"/>
    </row>
    <row r="49" spans="1:5" ht="15.75" x14ac:dyDescent="0.25">
      <c r="A49" s="71" t="s">
        <v>114</v>
      </c>
      <c r="B49" s="71" t="s">
        <v>115</v>
      </c>
      <c r="C49" s="71" t="s">
        <v>116</v>
      </c>
      <c r="D49" s="71" t="s">
        <v>117</v>
      </c>
      <c r="E49" s="72" t="s">
        <v>10</v>
      </c>
    </row>
    <row r="50" spans="1:5" ht="15.75" x14ac:dyDescent="0.25">
      <c r="A50" s="298"/>
      <c r="B50" s="298" t="s">
        <v>140</v>
      </c>
      <c r="C50" s="299"/>
      <c r="D50" s="300"/>
      <c r="E50" s="120">
        <f>C50*D50</f>
        <v>0</v>
      </c>
    </row>
    <row r="51" spans="1:5" ht="15.75" x14ac:dyDescent="0.25">
      <c r="A51" s="298"/>
      <c r="B51" s="298" t="s">
        <v>141</v>
      </c>
      <c r="C51" s="299"/>
      <c r="D51" s="300"/>
      <c r="E51" s="120">
        <f t="shared" ref="E51:E54" si="6">C51*D51</f>
        <v>0</v>
      </c>
    </row>
    <row r="52" spans="1:5" ht="15.75" x14ac:dyDescent="0.25">
      <c r="A52" s="298"/>
      <c r="B52" s="298" t="s">
        <v>11</v>
      </c>
      <c r="C52" s="299"/>
      <c r="D52" s="300"/>
      <c r="E52" s="120">
        <f t="shared" si="6"/>
        <v>0</v>
      </c>
    </row>
    <row r="53" spans="1:5" ht="15.75" x14ac:dyDescent="0.25">
      <c r="A53" s="298"/>
      <c r="B53" s="298" t="s">
        <v>142</v>
      </c>
      <c r="C53" s="299"/>
      <c r="D53" s="300"/>
      <c r="E53" s="120">
        <f t="shared" si="6"/>
        <v>0</v>
      </c>
    </row>
    <row r="54" spans="1:5" ht="15.75" x14ac:dyDescent="0.25">
      <c r="A54" s="293"/>
      <c r="B54" s="298" t="s">
        <v>143</v>
      </c>
      <c r="C54" s="299"/>
      <c r="D54" s="300"/>
      <c r="E54" s="120">
        <f t="shared" si="6"/>
        <v>0</v>
      </c>
    </row>
    <row r="55" spans="1:5" ht="15.75" x14ac:dyDescent="0.25">
      <c r="A55" s="296"/>
      <c r="B55" s="296"/>
      <c r="C55" s="297"/>
      <c r="D55" s="304"/>
      <c r="E55" s="120">
        <f>C55*D55</f>
        <v>0</v>
      </c>
    </row>
    <row r="56" spans="1:5" ht="15.75" x14ac:dyDescent="0.25">
      <c r="A56" s="296"/>
      <c r="B56" s="296"/>
      <c r="C56" s="297"/>
      <c r="D56" s="304"/>
      <c r="E56" s="120">
        <f t="shared" ref="E56:E59" si="7">C56*D56</f>
        <v>0</v>
      </c>
    </row>
    <row r="57" spans="1:5" ht="15.75" x14ac:dyDescent="0.25">
      <c r="A57" s="296"/>
      <c r="B57" s="296"/>
      <c r="C57" s="297"/>
      <c r="D57" s="304"/>
      <c r="E57" s="120">
        <f t="shared" si="7"/>
        <v>0</v>
      </c>
    </row>
    <row r="58" spans="1:5" ht="15.75" x14ac:dyDescent="0.25">
      <c r="A58" s="296"/>
      <c r="B58" s="296"/>
      <c r="C58" s="297"/>
      <c r="D58" s="304"/>
      <c r="E58" s="120">
        <f t="shared" si="7"/>
        <v>0</v>
      </c>
    </row>
    <row r="59" spans="1:5" ht="15.75" x14ac:dyDescent="0.25">
      <c r="A59" s="296"/>
      <c r="B59" s="296"/>
      <c r="C59" s="297"/>
      <c r="D59" s="304"/>
      <c r="E59" s="120">
        <f t="shared" si="7"/>
        <v>0</v>
      </c>
    </row>
    <row r="60" spans="1:5" ht="16.5" thickBot="1" x14ac:dyDescent="0.3">
      <c r="A60" s="386" t="s">
        <v>121</v>
      </c>
      <c r="B60" s="386"/>
      <c r="C60" s="386"/>
      <c r="D60" s="386"/>
      <c r="E60" s="123">
        <f>SUM(E50:E59)</f>
        <v>0</v>
      </c>
    </row>
    <row r="61" spans="1:5" ht="16.5" thickTop="1" x14ac:dyDescent="0.25">
      <c r="A61" s="12"/>
      <c r="B61" s="12"/>
      <c r="C61" s="82"/>
      <c r="D61" s="12"/>
      <c r="E61" s="12"/>
    </row>
    <row r="62" spans="1:5" ht="15.75" x14ac:dyDescent="0.25">
      <c r="A62" s="12"/>
      <c r="B62" s="12"/>
      <c r="C62" s="82"/>
      <c r="D62" s="12"/>
      <c r="E62" s="12"/>
    </row>
    <row r="63" spans="1:5" ht="15.75" x14ac:dyDescent="0.25">
      <c r="A63" s="28" t="s">
        <v>63</v>
      </c>
      <c r="B63" s="29"/>
      <c r="C63" s="83"/>
      <c r="D63" s="29"/>
      <c r="E63" s="30"/>
    </row>
    <row r="64" spans="1:5" ht="15.75" x14ac:dyDescent="0.25">
      <c r="A64" s="71" t="s">
        <v>114</v>
      </c>
      <c r="B64" s="71" t="s">
        <v>115</v>
      </c>
      <c r="C64" s="71" t="s">
        <v>116</v>
      </c>
      <c r="D64" s="71" t="s">
        <v>117</v>
      </c>
      <c r="E64" s="72" t="s">
        <v>10</v>
      </c>
    </row>
    <row r="65" spans="1:5" ht="15.75" x14ac:dyDescent="0.25">
      <c r="A65" s="298"/>
      <c r="B65" s="298" t="s">
        <v>140</v>
      </c>
      <c r="C65" s="299"/>
      <c r="D65" s="300"/>
      <c r="E65" s="120">
        <f>C65*D65</f>
        <v>0</v>
      </c>
    </row>
    <row r="66" spans="1:5" ht="15.75" x14ac:dyDescent="0.25">
      <c r="A66" s="298"/>
      <c r="B66" s="298" t="s">
        <v>141</v>
      </c>
      <c r="C66" s="299"/>
      <c r="D66" s="300"/>
      <c r="E66" s="120">
        <f t="shared" ref="E66:E69" si="8">C66*D66</f>
        <v>0</v>
      </c>
    </row>
    <row r="67" spans="1:5" ht="15.75" x14ac:dyDescent="0.25">
      <c r="A67" s="298"/>
      <c r="B67" s="298" t="s">
        <v>11</v>
      </c>
      <c r="C67" s="299"/>
      <c r="D67" s="300"/>
      <c r="E67" s="120">
        <f t="shared" si="8"/>
        <v>0</v>
      </c>
    </row>
    <row r="68" spans="1:5" ht="15.75" x14ac:dyDescent="0.25">
      <c r="A68" s="298"/>
      <c r="B68" s="298" t="s">
        <v>142</v>
      </c>
      <c r="C68" s="299"/>
      <c r="D68" s="300"/>
      <c r="E68" s="120">
        <f t="shared" si="8"/>
        <v>0</v>
      </c>
    </row>
    <row r="69" spans="1:5" ht="15.75" x14ac:dyDescent="0.25">
      <c r="A69" s="293"/>
      <c r="B69" s="298" t="s">
        <v>143</v>
      </c>
      <c r="C69" s="299"/>
      <c r="D69" s="300"/>
      <c r="E69" s="124">
        <f t="shared" si="8"/>
        <v>0</v>
      </c>
    </row>
    <row r="70" spans="1:5" ht="15.75" x14ac:dyDescent="0.25">
      <c r="A70" s="296"/>
      <c r="B70" s="296"/>
      <c r="C70" s="297"/>
      <c r="D70" s="304"/>
      <c r="E70" s="124">
        <f>C70*D70</f>
        <v>0</v>
      </c>
    </row>
    <row r="71" spans="1:5" ht="15.75" x14ac:dyDescent="0.25">
      <c r="A71" s="296"/>
      <c r="B71" s="296"/>
      <c r="C71" s="297"/>
      <c r="D71" s="304"/>
      <c r="E71" s="124">
        <f t="shared" ref="E71:E74" si="9">C71*D71</f>
        <v>0</v>
      </c>
    </row>
    <row r="72" spans="1:5" ht="15.75" x14ac:dyDescent="0.25">
      <c r="A72" s="296"/>
      <c r="B72" s="296"/>
      <c r="C72" s="297"/>
      <c r="D72" s="304"/>
      <c r="E72" s="124">
        <f t="shared" si="9"/>
        <v>0</v>
      </c>
    </row>
    <row r="73" spans="1:5" ht="15.75" x14ac:dyDescent="0.25">
      <c r="A73" s="296"/>
      <c r="B73" s="296"/>
      <c r="C73" s="297"/>
      <c r="D73" s="304"/>
      <c r="E73" s="124">
        <f t="shared" si="9"/>
        <v>0</v>
      </c>
    </row>
    <row r="74" spans="1:5" ht="15.75" x14ac:dyDescent="0.25">
      <c r="A74" s="296"/>
      <c r="B74" s="296"/>
      <c r="C74" s="297"/>
      <c r="D74" s="304"/>
      <c r="E74" s="124">
        <f t="shared" si="9"/>
        <v>0</v>
      </c>
    </row>
    <row r="75" spans="1:5" ht="16.5" thickBot="1" x14ac:dyDescent="0.3">
      <c r="A75" s="382" t="s">
        <v>122</v>
      </c>
      <c r="B75" s="382"/>
      <c r="C75" s="382"/>
      <c r="D75" s="382"/>
      <c r="E75" s="122">
        <f>SUM(E65:E74)</f>
        <v>0</v>
      </c>
    </row>
    <row r="76" spans="1:5" ht="16.5" thickTop="1" x14ac:dyDescent="0.25">
      <c r="A76" s="12"/>
      <c r="B76" s="12"/>
      <c r="C76" s="82"/>
      <c r="D76" s="12"/>
      <c r="E76" s="12"/>
    </row>
    <row r="77" spans="1:5" ht="15.75" x14ac:dyDescent="0.25">
      <c r="A77" s="12"/>
      <c r="B77" s="12"/>
      <c r="C77" s="82"/>
      <c r="D77" s="125" t="s">
        <v>27</v>
      </c>
      <c r="E77" s="126">
        <f>E15+E30+E45+E60+E75</f>
        <v>0</v>
      </c>
    </row>
  </sheetData>
  <mergeCells count="6">
    <mergeCell ref="A75:D75"/>
    <mergeCell ref="A3:E3"/>
    <mergeCell ref="A15:D15"/>
    <mergeCell ref="A30:D30"/>
    <mergeCell ref="A45:D45"/>
    <mergeCell ref="A60:D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Z199"/>
  <sheetViews>
    <sheetView zoomScale="80" zoomScaleNormal="80" workbookViewId="0">
      <selection activeCell="O69" sqref="O69"/>
    </sheetView>
  </sheetViews>
  <sheetFormatPr defaultColWidth="8.7109375" defaultRowHeight="15.75" outlineLevelRow="1" x14ac:dyDescent="0.25"/>
  <cols>
    <col min="1" max="1" width="56.7109375" style="1" bestFit="1" customWidth="1"/>
    <col min="2" max="6" width="13.7109375" style="1" customWidth="1"/>
    <col min="7" max="7" width="14.7109375" style="2" customWidth="1"/>
    <col min="8" max="8" width="2.7109375" style="2" customWidth="1"/>
    <col min="9" max="9" width="33" style="1" customWidth="1"/>
    <col min="10" max="14" width="11.7109375" style="1" customWidth="1"/>
    <col min="15" max="15" width="17.7109375" style="1" customWidth="1"/>
    <col min="16" max="16" width="14.42578125" style="1" hidden="1" customWidth="1"/>
    <col min="17" max="17" width="12.7109375" style="1" hidden="1" customWidth="1"/>
    <col min="18" max="18" width="12.28515625" style="1" hidden="1" customWidth="1"/>
    <col min="19" max="19" width="3.42578125" style="1" hidden="1" customWidth="1"/>
    <col min="20" max="20" width="30.28515625" style="1" bestFit="1" customWidth="1"/>
    <col min="21" max="21" width="12" style="80" bestFit="1" customWidth="1"/>
    <col min="22" max="22" width="8" style="80" bestFit="1" customWidth="1"/>
    <col min="23" max="23" width="22.28515625" style="22" bestFit="1" customWidth="1"/>
    <col min="24" max="24" width="12.7109375" style="1" bestFit="1" customWidth="1"/>
    <col min="25" max="25" width="26" style="1" bestFit="1" customWidth="1"/>
    <col min="26" max="26" width="7.7109375" style="1" bestFit="1" customWidth="1"/>
    <col min="27" max="16384" width="8.7109375" style="1"/>
  </cols>
  <sheetData>
    <row r="1" spans="1:26" s="2" customFormat="1" ht="15.75" customHeight="1" x14ac:dyDescent="0.25">
      <c r="A1" s="405" t="s">
        <v>183</v>
      </c>
      <c r="B1" s="405"/>
      <c r="C1" s="405"/>
      <c r="D1" s="405"/>
      <c r="E1" s="405"/>
      <c r="F1" s="405"/>
      <c r="G1" s="405"/>
      <c r="I1" s="369" t="s">
        <v>18</v>
      </c>
      <c r="J1" s="370"/>
      <c r="K1" s="370"/>
      <c r="L1" s="370"/>
      <c r="M1" s="370"/>
      <c r="N1" s="370"/>
      <c r="O1" s="371"/>
      <c r="T1" s="127" t="s">
        <v>157</v>
      </c>
      <c r="U1" s="337"/>
      <c r="V1" s="42"/>
      <c r="W1" s="169"/>
      <c r="Y1" s="368" t="s">
        <v>177</v>
      </c>
      <c r="Z1" s="368"/>
    </row>
    <row r="2" spans="1:26" s="2" customFormat="1" ht="28.5" customHeight="1" x14ac:dyDescent="0.25">
      <c r="A2" s="405"/>
      <c r="B2" s="405"/>
      <c r="C2" s="405"/>
      <c r="D2" s="405"/>
      <c r="E2" s="405"/>
      <c r="F2" s="405"/>
      <c r="G2" s="405"/>
      <c r="I2" s="372"/>
      <c r="J2" s="373"/>
      <c r="K2" s="373"/>
      <c r="L2" s="373"/>
      <c r="M2" s="373"/>
      <c r="N2" s="373"/>
      <c r="O2" s="374"/>
      <c r="T2" s="127" t="s">
        <v>216</v>
      </c>
      <c r="U2" s="268">
        <f>Budget!AB4</f>
        <v>56484</v>
      </c>
      <c r="V2" s="5"/>
      <c r="W2" s="114"/>
      <c r="Y2" s="135" t="s">
        <v>178</v>
      </c>
      <c r="Z2" s="235"/>
    </row>
    <row r="3" spans="1:26" s="2" customFormat="1" ht="30.75" customHeight="1" x14ac:dyDescent="0.25">
      <c r="A3" s="406" t="s">
        <v>174</v>
      </c>
      <c r="B3" s="406"/>
      <c r="C3" s="406"/>
      <c r="D3" s="406"/>
      <c r="E3" s="406"/>
      <c r="F3" s="406"/>
      <c r="G3" s="406"/>
      <c r="I3" s="33"/>
      <c r="J3" s="42" t="s">
        <v>28</v>
      </c>
      <c r="K3" s="42"/>
      <c r="L3" s="42"/>
      <c r="M3" s="42"/>
      <c r="N3" s="42"/>
      <c r="O3" s="43" t="s">
        <v>29</v>
      </c>
      <c r="P3" s="1">
        <f>IF(MONTH(J4)&gt;6, 12+7-MONTH(J4), 7-MONTH(J4))</f>
        <v>6</v>
      </c>
      <c r="Q3" s="2" t="s">
        <v>129</v>
      </c>
      <c r="T3" s="127" t="s">
        <v>154</v>
      </c>
      <c r="U3" s="268">
        <f>Budget!U3</f>
        <v>12348</v>
      </c>
      <c r="V3" s="338">
        <v>0.08</v>
      </c>
      <c r="W3" s="170" t="s">
        <v>167</v>
      </c>
      <c r="Y3" s="135" t="s">
        <v>129</v>
      </c>
      <c r="Z3" s="236"/>
    </row>
    <row r="4" spans="1:26" ht="15.75" customHeight="1" thickBot="1" x14ac:dyDescent="0.3">
      <c r="A4" s="98" t="str">
        <f>"Period of Performance: "&amp;TEXT(J4, "mm/dd/yy")&amp;" - "&amp;TEXT(O4, "mm/dd/yy")&amp;" ["&amp;ROUND(J6,2)&amp; " Year(s)]"</f>
        <v>Period of Performance: 01/00/00 - 01/00/00 [0 Year(s)]</v>
      </c>
      <c r="B4" s="99"/>
      <c r="C4" s="99"/>
      <c r="D4" s="99"/>
      <c r="E4" s="99"/>
      <c r="F4" s="99"/>
      <c r="G4" s="98"/>
      <c r="I4" s="45" t="s">
        <v>52</v>
      </c>
      <c r="J4" s="262">
        <f>Budget!J4</f>
        <v>0</v>
      </c>
      <c r="K4" s="133"/>
      <c r="L4" s="133"/>
      <c r="M4" s="133"/>
      <c r="N4" s="133"/>
      <c r="O4" s="263">
        <f>Budget!O4</f>
        <v>0</v>
      </c>
      <c r="P4" s="1">
        <f>IF(DAY(J4)&gt;1,(P3-1+((DAY(DATE(YEAR(J4),MONTH(J4)+1,0))-DAY(J4))/DAY(DATE(YEAR(J4),MONTH(J4)+1,0)))),P3)</f>
        <v>6</v>
      </c>
      <c r="Q4" s="1" t="s">
        <v>127</v>
      </c>
      <c r="T4" s="127" t="s">
        <v>166</v>
      </c>
      <c r="U4" s="269">
        <f>Budget!U4</f>
        <v>14.5</v>
      </c>
      <c r="V4" s="168"/>
      <c r="W4" s="171"/>
      <c r="Y4" s="135" t="s">
        <v>179</v>
      </c>
      <c r="Z4" s="237"/>
    </row>
    <row r="5" spans="1:26" x14ac:dyDescent="0.25">
      <c r="A5" s="2"/>
      <c r="I5" s="9"/>
      <c r="J5" s="5" t="s">
        <v>80</v>
      </c>
      <c r="K5" s="5"/>
      <c r="L5" s="5"/>
      <c r="M5" s="5"/>
      <c r="N5" s="5"/>
      <c r="O5" s="41" t="s">
        <v>14</v>
      </c>
      <c r="P5" s="1">
        <f>IF(O4-J4&lt;366, P4/((YEAR(O4)-YEAR(J4))*12+MONTH(O4)-MONTH(J4)+1),0)</f>
        <v>6</v>
      </c>
      <c r="Q5" s="1" t="s">
        <v>128</v>
      </c>
      <c r="T5" s="5"/>
      <c r="U5" s="5" t="s">
        <v>82</v>
      </c>
      <c r="V5" s="5" t="s">
        <v>86</v>
      </c>
      <c r="W5" s="5" t="s">
        <v>112</v>
      </c>
      <c r="Y5" s="127" t="s">
        <v>180</v>
      </c>
      <c r="Z5" s="2">
        <f>IF(Z3="F",Z2*12*Z4,IF(Z3="A",Z2*9*Z4,0))</f>
        <v>0</v>
      </c>
    </row>
    <row r="6" spans="1:26" s="5" customFormat="1" x14ac:dyDescent="0.25">
      <c r="A6" s="7"/>
      <c r="B6" s="6" t="s">
        <v>6</v>
      </c>
      <c r="C6" s="7" t="s">
        <v>5</v>
      </c>
      <c r="D6" s="7" t="s">
        <v>7</v>
      </c>
      <c r="E6" s="7" t="s">
        <v>8</v>
      </c>
      <c r="F6" s="7" t="s">
        <v>9</v>
      </c>
      <c r="G6" s="7" t="s">
        <v>10</v>
      </c>
      <c r="I6" s="8"/>
      <c r="J6" s="44">
        <f>YEARFRAC(J4, O4)</f>
        <v>0</v>
      </c>
      <c r="K6" s="44"/>
      <c r="L6" s="44"/>
      <c r="M6" s="44"/>
      <c r="N6" s="44"/>
      <c r="O6" s="264">
        <v>0</v>
      </c>
      <c r="T6" s="5" t="s">
        <v>155</v>
      </c>
      <c r="U6" s="5" t="s">
        <v>83</v>
      </c>
      <c r="V6" s="5" t="s">
        <v>126</v>
      </c>
      <c r="W6" s="5" t="s">
        <v>113</v>
      </c>
      <c r="Y6" s="127" t="s">
        <v>181</v>
      </c>
      <c r="Z6" s="238">
        <f>IF(Z3="F",Z5/12,IF(Z3="A",Z5/9,0))</f>
        <v>0</v>
      </c>
    </row>
    <row r="7" spans="1:26" s="2" customFormat="1" x14ac:dyDescent="0.25">
      <c r="A7" s="98" t="s">
        <v>3</v>
      </c>
      <c r="B7" s="46"/>
      <c r="C7" s="46"/>
      <c r="D7" s="46"/>
      <c r="E7" s="46"/>
      <c r="F7" s="46"/>
      <c r="G7" s="46"/>
      <c r="I7" s="9"/>
      <c r="J7" s="5" t="s">
        <v>6</v>
      </c>
      <c r="K7" s="5" t="s">
        <v>5</v>
      </c>
      <c r="L7" s="5" t="s">
        <v>7</v>
      </c>
      <c r="M7" s="5" t="s">
        <v>8</v>
      </c>
      <c r="N7" s="5" t="s">
        <v>9</v>
      </c>
      <c r="O7" s="10"/>
      <c r="T7" s="77"/>
      <c r="U7" s="5"/>
      <c r="V7" s="239"/>
      <c r="W7" s="114"/>
    </row>
    <row r="8" spans="1:26" hidden="1" outlineLevel="1" x14ac:dyDescent="0.25">
      <c r="A8" s="22" t="s">
        <v>84</v>
      </c>
      <c r="B8" s="47"/>
      <c r="C8" s="48"/>
      <c r="D8" s="48"/>
      <c r="E8" s="48"/>
      <c r="F8" s="48"/>
      <c r="G8" s="46"/>
      <c r="I8" s="89" t="s">
        <v>132</v>
      </c>
      <c r="J8" s="166">
        <f>IF(U12="F",J9*12,SUM(J10*9,J11))</f>
        <v>0</v>
      </c>
      <c r="K8" s="166">
        <f>IF(U12="F",K9*12,SUM(K10*9,K11))</f>
        <v>0</v>
      </c>
      <c r="L8" s="166">
        <f>IF(U12="F",L9*12,SUM(L10*9,L11))</f>
        <v>0</v>
      </c>
      <c r="M8" s="166">
        <f>IF(U12="F",M9*12,SUM(M10*9,M11))</f>
        <v>0</v>
      </c>
      <c r="N8" s="166">
        <f>IF(U12="F",N9*12,SUM(N10*9,N11))</f>
        <v>0</v>
      </c>
      <c r="O8" s="41" t="s">
        <v>51</v>
      </c>
      <c r="P8" s="134" t="s">
        <v>130</v>
      </c>
      <c r="Q8" s="134" t="s">
        <v>131</v>
      </c>
      <c r="R8" s="11"/>
      <c r="S8" s="12"/>
      <c r="T8" s="78"/>
      <c r="V8" s="240"/>
    </row>
    <row r="9" spans="1:26" hidden="1" outlineLevel="1" x14ac:dyDescent="0.25">
      <c r="A9" s="13" t="e">
        <f>ROUND(P9*100, 2)&amp;"% Avg. Fiscal Effort, "&amp;ROUND(Q9, 2)&amp;" Avg. Calendar Months"</f>
        <v>#DIV/0!</v>
      </c>
      <c r="B9" s="47">
        <f>O9*J9</f>
        <v>0</v>
      </c>
      <c r="C9" s="47">
        <f>IF($J$6&gt;1,IF($U$1&lt;&gt;0,IF(O9*(1+$O$6)&lt;=$U$1,O9*K9*(1+$O$6),$U$1*K9),O9*K9*(1+$O$6)),0)</f>
        <v>0</v>
      </c>
      <c r="D9" s="47">
        <f>IF($J$6&gt;2,IF($U$1&lt;&gt;0,IF(O9*(1+$O$6)^2&lt;=$U$1,O9*L9*(1+$O$6)^2,$U$1*L9),O9*L9*(1+$O$6)^2),0)</f>
        <v>0</v>
      </c>
      <c r="E9" s="47">
        <f>IF($J$6&gt;3,IF($U$1&lt;&gt;0,IF(O9*(1+$O$6)^3&lt;=$U$1,O9*M9*(1+$O$6)^3,$U$1*M9),O9*M9*(1+$O$6)^3),0)</f>
        <v>0</v>
      </c>
      <c r="F9" s="47">
        <f>IF($J$6&gt;4,IF($U$1&lt;&gt;0,IF(O9*(1+$O$6)^4&lt;=$U$1,O9*N9*(1+$O$6)^4,$U$1*N9),O9*N9*(1+$O$6)^4),0)</f>
        <v>0</v>
      </c>
      <c r="G9" s="46">
        <f>SUM(B9:F9)</f>
        <v>0</v>
      </c>
      <c r="H9" s="14"/>
      <c r="I9" s="89" t="s">
        <v>26</v>
      </c>
      <c r="J9" s="241">
        <v>0</v>
      </c>
      <c r="K9" s="241">
        <f>IF($J$6&gt;1,J9,0)</f>
        <v>0</v>
      </c>
      <c r="L9" s="241">
        <f>IF($J$6&gt;2,K9,0)</f>
        <v>0</v>
      </c>
      <c r="M9" s="241">
        <f>IF($J$6&gt;3,L9,0)</f>
        <v>0</v>
      </c>
      <c r="N9" s="241">
        <f>IF($J$6&gt;4,M9,0)</f>
        <v>0</v>
      </c>
      <c r="O9" s="128">
        <f>IF(U12="F",IF($U$1&lt;&gt;0,IF(T12&gt;$U$1,$U$1,T12),T12),0)</f>
        <v>0</v>
      </c>
      <c r="P9" s="135" t="e">
        <f>SUM(J8:N8)/(ROUNDUP($J$6,0)*12)</f>
        <v>#DIV/0!</v>
      </c>
      <c r="Q9" s="136" t="e">
        <f>(SUM(J8:N8)/(CEILING($J$6*12,12)))*12</f>
        <v>#DIV/0!</v>
      </c>
      <c r="T9" s="78"/>
      <c r="V9" s="240"/>
      <c r="X9" s="17"/>
    </row>
    <row r="10" spans="1:26" hidden="1" outlineLevel="1" x14ac:dyDescent="0.25">
      <c r="A10" s="376" t="e">
        <f>ROUND(P9*100,2)&amp;"% Annualized Effort, "&amp;ROUND(Q10,2)&amp;" Avg. Academic Months
"&amp;IF(SUM(J11:N11)&gt;0," and "&amp;Q11 &amp;" Avg. Summer Months", "")</f>
        <v>#DIV/0!</v>
      </c>
      <c r="B10" s="47">
        <f>J10*O10</f>
        <v>0</v>
      </c>
      <c r="C10" s="47">
        <f>IF($J$6&gt;1,IF($U$1&lt;&gt;0,IF(O10*(1+$O$6)&lt;=$U$1*0.75,O10*K10*(1+$O$6),$U$1*0.75*K10),O10*K10*(1+$O$6)),0)</f>
        <v>0</v>
      </c>
      <c r="D10" s="47">
        <f>IF($J$6&gt;2,IF($U$1&lt;&gt;0,IF(O10*(1+$O$6)^2&lt;=$U$1*0.75,O10*L10*(1+$O$6)^2,$U$1*0.75*L10),O10*L10*(1+$O$6)^2),0)</f>
        <v>0</v>
      </c>
      <c r="E10" s="47">
        <f>IF($J$6&gt;3,IF($U$1&lt;&gt;0,IF(O10*(1+$O$6)^3&lt;=$U$1*0.75,O10*M10*(1+$O$6)^3,$U$1*0.75*M10),O10*M10*(1+$O$6)^3),0)</f>
        <v>0</v>
      </c>
      <c r="F10" s="47">
        <f>IF($J$6&gt;4,IF($U$1&lt;&gt;0,IF(O10*(1+$O$6)^4&lt;=$U$1*0.75,O10*N10*(1+$O$6)^4,$U$1*0.75*N10),O10*N10*(1+$O$6)^4),0)</f>
        <v>0</v>
      </c>
      <c r="G10" s="46">
        <f>SUM(B10:F10)</f>
        <v>0</v>
      </c>
      <c r="H10" s="14"/>
      <c r="I10" s="89" t="s">
        <v>15</v>
      </c>
      <c r="J10" s="241">
        <v>0</v>
      </c>
      <c r="K10" s="241">
        <f t="shared" ref="K10:K11" si="0">IF($J$6&gt;1,J10,0)</f>
        <v>0</v>
      </c>
      <c r="L10" s="241">
        <f t="shared" ref="L10:L11" si="1">IF($J$6&gt;2,K10,0)</f>
        <v>0</v>
      </c>
      <c r="M10" s="241">
        <f t="shared" ref="M10:M11" si="2">IF($J$6&gt;3,L10,0)</f>
        <v>0</v>
      </c>
      <c r="N10" s="241">
        <f t="shared" ref="N10:N11" si="3">IF($J$6&gt;4,M10,0)</f>
        <v>0</v>
      </c>
      <c r="O10" s="128">
        <f>IF(U12="A",IF($U$1&lt;&gt;0,IF(T12&gt;($U$1/12*9),($U$1/12*9),T12),T12),0)</f>
        <v>0</v>
      </c>
      <c r="P10" s="194"/>
      <c r="Q10" s="137" t="e">
        <f>((SUM(J8:N8)-SUM(J11:N11))/(CEILING($J$6*9,9)))*9</f>
        <v>#DIV/0!</v>
      </c>
      <c r="R10" s="12"/>
      <c r="S10" s="12"/>
      <c r="T10" s="78"/>
      <c r="V10" s="240"/>
    </row>
    <row r="11" spans="1:26" hidden="1" outlineLevel="1" x14ac:dyDescent="0.25">
      <c r="A11" s="376"/>
      <c r="B11" s="47">
        <f>J11/3*O11</f>
        <v>0</v>
      </c>
      <c r="C11" s="47">
        <f>IF($J$6&gt;1,IF($U$1&lt;&gt;0,IF(O11*(1+$O$6)&lt;=$U$1*0.25,O11*K11/3*(1+$O$6),$U$1*0.25*K11/3),O11*K11/3*(1+$O$6)),0)</f>
        <v>0</v>
      </c>
      <c r="D11" s="47">
        <f>IF($J$6&gt;2,IF($U$1&lt;&gt;0,IF(O11*(1+$O$6)^2&lt;=$U$1*0.25,O11*L11/3*(1+$O$6)^2,$U$1*0.25*L11/3),O11*L11/3*(1+$O$6)^2),0)</f>
        <v>0</v>
      </c>
      <c r="E11" s="47">
        <f>IF($J$6&gt;3,IF($U$1&lt;&gt;0,IF(O11*(1+$O$6)^3&lt;=$U$1*0.25,O11*M11/3*(1+$O$6)^3,$U$1*0.25*M11/3),O11*M11/3*(1+$O$6)^3),0)</f>
        <v>0</v>
      </c>
      <c r="F11" s="47">
        <f>IF($J$6&gt;4,IF($U$1&lt;&gt;0,IF(O11*(1+$O$6)^4&lt;=$U$1*0.25,O11*N11/3*(1+$O$6)^4,$U$1*0.25*N11/3),O11*N11/3*(1+$O$6)^4),0)</f>
        <v>0</v>
      </c>
      <c r="G11" s="46">
        <f>SUM(B11:F11)</f>
        <v>0</v>
      </c>
      <c r="H11" s="14"/>
      <c r="I11" s="89" t="s">
        <v>17</v>
      </c>
      <c r="J11" s="242">
        <v>0</v>
      </c>
      <c r="K11" s="242">
        <f t="shared" si="0"/>
        <v>0</v>
      </c>
      <c r="L11" s="242">
        <f t="shared" si="1"/>
        <v>0</v>
      </c>
      <c r="M11" s="242">
        <f t="shared" si="2"/>
        <v>0</v>
      </c>
      <c r="N11" s="242">
        <f t="shared" si="3"/>
        <v>0</v>
      </c>
      <c r="O11" s="128">
        <f>IF(U12="A",IF($U$1&lt;&gt;0,IF(T12*0.00072*464&gt;($U$1/12*3),($U$1/12*3),T12*0.00072*464),T12*0.00072*464),0)</f>
        <v>0</v>
      </c>
      <c r="P11" s="138"/>
      <c r="Q11" s="138" t="e">
        <f>((SUM(J8:N8)-SUM(J10:N10)*9)/(CEILING($J$6*3,3)))*3</f>
        <v>#DIV/0!</v>
      </c>
      <c r="R11" s="12"/>
      <c r="S11" s="12"/>
      <c r="V11" s="240"/>
      <c r="Y11"/>
      <c r="Z11"/>
    </row>
    <row r="12" spans="1:26" hidden="1" outlineLevel="1" x14ac:dyDescent="0.25">
      <c r="A12" s="18"/>
      <c r="B12" s="47"/>
      <c r="C12" s="47"/>
      <c r="D12" s="48"/>
      <c r="E12" s="48"/>
      <c r="F12" s="48"/>
      <c r="G12" s="49"/>
      <c r="H12" s="19"/>
      <c r="I12" s="149" t="s">
        <v>111</v>
      </c>
      <c r="J12" s="167">
        <f>SUM(B9:B11)*$V12</f>
        <v>0</v>
      </c>
      <c r="K12" s="167">
        <f>SUM(C9:C11)*$V12</f>
        <v>0</v>
      </c>
      <c r="L12" s="167">
        <f>SUM(D9:D11)*$V12</f>
        <v>0</v>
      </c>
      <c r="M12" s="167">
        <f>SUM(E9:E11)*$V12</f>
        <v>0</v>
      </c>
      <c r="N12" s="167">
        <f>SUM(F9:F11)*$V12</f>
        <v>0</v>
      </c>
      <c r="O12" s="21"/>
      <c r="P12" s="138"/>
      <c r="Q12" s="138"/>
      <c r="R12" s="12"/>
      <c r="S12" s="12"/>
      <c r="T12" s="243"/>
      <c r="U12" s="154"/>
      <c r="V12" s="244"/>
      <c r="W12" s="155"/>
      <c r="Y12"/>
      <c r="Z12"/>
    </row>
    <row r="13" spans="1:26" hidden="1" outlineLevel="1" x14ac:dyDescent="0.25">
      <c r="A13" s="22" t="s">
        <v>84</v>
      </c>
      <c r="B13" s="47"/>
      <c r="C13" s="48"/>
      <c r="D13" s="48"/>
      <c r="E13" s="48"/>
      <c r="F13" s="48"/>
      <c r="G13" s="46"/>
      <c r="I13" s="89" t="s">
        <v>132</v>
      </c>
      <c r="J13" s="166">
        <f>IF(U17="F",J14*12,SUM(J15*9,J16))</f>
        <v>0</v>
      </c>
      <c r="K13" s="166">
        <f>IF(U17="F",K14*12,SUM(K15*9,K16))</f>
        <v>0</v>
      </c>
      <c r="L13" s="166">
        <f>IF(U17="F",L14*12,SUM(L15*9,L16))</f>
        <v>0</v>
      </c>
      <c r="M13" s="166">
        <f>IF(U17="F",M14*12,SUM(M15*9,M16))</f>
        <v>0</v>
      </c>
      <c r="N13" s="166">
        <f>IF(U17="F",N14*12,SUM(N15*9,N16))</f>
        <v>0</v>
      </c>
      <c r="O13" s="41" t="s">
        <v>51</v>
      </c>
      <c r="P13" s="134" t="s">
        <v>130</v>
      </c>
      <c r="Q13" s="134" t="s">
        <v>131</v>
      </c>
      <c r="R13" s="11"/>
      <c r="S13" s="12"/>
      <c r="T13" s="78"/>
      <c r="V13" s="240"/>
      <c r="Y13"/>
      <c r="Z13"/>
    </row>
    <row r="14" spans="1:26" hidden="1" outlineLevel="1" x14ac:dyDescent="0.25">
      <c r="A14" s="13" t="e">
        <f>ROUND(P14*100, 2)&amp;"% Avg. Fiscal Effort, "&amp;ROUND(Q14, 2)&amp;" Avg. Calendar Months"</f>
        <v>#DIV/0!</v>
      </c>
      <c r="B14" s="47">
        <f>O14*J14</f>
        <v>0</v>
      </c>
      <c r="C14" s="47">
        <f>IF($J$6&gt;1,IF($U$1&lt;&gt;0,IF(O14*(1+$O$6)&lt;=$U$1,O14*K14*(1+$O$6),$U$1*K14),O14*K14*(1+$O$6)),0)</f>
        <v>0</v>
      </c>
      <c r="D14" s="47">
        <f>IF($J$6&gt;2,IF($U$1&lt;&gt;0,IF(O14*(1+$O$6)^2&lt;=$U$1,O14*L14*(1+$O$6)^2,$U$1*L14),O14*L14*(1+$O$6)^2),0)</f>
        <v>0</v>
      </c>
      <c r="E14" s="47">
        <f>IF($J$6&gt;3,IF($U$1&lt;&gt;0,IF(O14*(1+$O$6)^3&lt;=$U$1,O14*M14*(1+$O$6)^3,$U$1*M14),O14*M14*(1+$O$6)^3),0)</f>
        <v>0</v>
      </c>
      <c r="F14" s="47">
        <f>IF($J$6&gt;4,IF($U$1&lt;&gt;0,IF(O14*(1+$O$6)^4&lt;=$U$1,O14*N14*(1+$O$6)^4,$U$1*N14),O14*N14*(1+$O$6)^4),0)</f>
        <v>0</v>
      </c>
      <c r="G14" s="46">
        <f>SUM(B14:F14)</f>
        <v>0</v>
      </c>
      <c r="H14" s="14"/>
      <c r="I14" s="89" t="s">
        <v>26</v>
      </c>
      <c r="J14" s="16">
        <v>0</v>
      </c>
      <c r="K14" s="16">
        <f>IF($J$6&gt;1,J14,0)</f>
        <v>0</v>
      </c>
      <c r="L14" s="16">
        <f>IF($J$6&gt;2,K14,0)</f>
        <v>0</v>
      </c>
      <c r="M14" s="16">
        <f>IF($J$6&gt;3,L14,0)</f>
        <v>0</v>
      </c>
      <c r="N14" s="16">
        <f>IF($J$6&gt;4,M14,0)</f>
        <v>0</v>
      </c>
      <c r="O14" s="128">
        <f>IF(U17="F",IF($U$1&lt;&gt;0,IF(T17&gt;$U$1,$U$1,T17),T17),0)</f>
        <v>0</v>
      </c>
      <c r="P14" s="135" t="e">
        <f>SUM(J13:N13)/(ROUNDUP($J$6,0)*12)</f>
        <v>#DIV/0!</v>
      </c>
      <c r="Q14" s="136" t="e">
        <f>(SUM(J13:N13)/(CEILING($J$6*12,12)))*12</f>
        <v>#DIV/0!</v>
      </c>
      <c r="T14" s="78"/>
      <c r="V14" s="240"/>
      <c r="X14" s="17"/>
      <c r="Y14"/>
      <c r="Z14"/>
    </row>
    <row r="15" spans="1:26" ht="15.75" hidden="1" customHeight="1" outlineLevel="1" x14ac:dyDescent="0.25">
      <c r="A15" s="376" t="e">
        <f>ROUND(P14*100,2)&amp;"% Annualized Effort, "&amp;ROUND(Q15,2)&amp;" Avg. Academic Months
"&amp;IF(SUM(J16:N16)&gt;0," and "&amp;Q16 &amp;" Avg. Summer Months", "")</f>
        <v>#DIV/0!</v>
      </c>
      <c r="B15" s="47">
        <f>J15*O15</f>
        <v>0</v>
      </c>
      <c r="C15" s="47">
        <f>IF($J$6&gt;1,IF($U$1&lt;&gt;0,IF(O15*(1+$O$6)&lt;=$U$1*0.75,O15*K15*(1+$O$6),$U$1*0.75*K15),O15*K15*(1+$O$6)),0)</f>
        <v>0</v>
      </c>
      <c r="D15" s="47">
        <f>IF($J$6&gt;2,IF($U$1&lt;&gt;0,IF(O15*(1+$O$6)^2&lt;=$U$1*0.75,O15*L15*(1+$O$6)^2,$U$1*0.75*L15),O15*L15*(1+$O$6)^2),0)</f>
        <v>0</v>
      </c>
      <c r="E15" s="47">
        <f>IF($J$6&gt;3,IF($U$1&lt;&gt;0,IF(O15*(1+$O$6)^3&lt;=$U$1*0.75,O15*M15*(1+$O$6)^3,$U$1*0.75*M15),O15*M15*(1+$O$6)^3),0)</f>
        <v>0</v>
      </c>
      <c r="F15" s="47">
        <f>IF($J$6&gt;4,IF($U$1&lt;&gt;0,IF(O15*(1+$O$6)^4&lt;=$U$1*0.75,O15*N15*(1+$O$6)^4,$U$1*0.75*N15),O15*N15*(1+$O$6)^4),0)</f>
        <v>0</v>
      </c>
      <c r="G15" s="46">
        <f>SUM(B15:F15)</f>
        <v>0</v>
      </c>
      <c r="H15" s="14"/>
      <c r="I15" s="89" t="s">
        <v>15</v>
      </c>
      <c r="J15" s="16">
        <v>0</v>
      </c>
      <c r="K15" s="16">
        <f t="shared" ref="K15:K16" si="4">IF($J$6&gt;1,J15,0)</f>
        <v>0</v>
      </c>
      <c r="L15" s="16">
        <f t="shared" ref="L15:L16" si="5">IF($J$6&gt;2,K15,0)</f>
        <v>0</v>
      </c>
      <c r="M15" s="16">
        <f t="shared" ref="M15:M16" si="6">IF($J$6&gt;3,L15,0)</f>
        <v>0</v>
      </c>
      <c r="N15" s="16">
        <f t="shared" ref="N15:N16" si="7">IF($J$6&gt;4,M15,0)</f>
        <v>0</v>
      </c>
      <c r="O15" s="128">
        <f>IF(U17="A",IF($U$1&lt;&gt;0,IF(T17&gt;($U$1/12*9),($U$1/12*9),T17),T17),0)</f>
        <v>0</v>
      </c>
      <c r="P15" s="194"/>
      <c r="Q15" s="137" t="e">
        <f>((SUM(J13:N13)-SUM(J16:N16))/(CEILING($J$6*9,9)))*9</f>
        <v>#DIV/0!</v>
      </c>
      <c r="R15" s="12"/>
      <c r="S15" s="12"/>
      <c r="T15" s="78"/>
      <c r="V15" s="240"/>
      <c r="Y15"/>
      <c r="Z15"/>
    </row>
    <row r="16" spans="1:26" hidden="1" outlineLevel="1" x14ac:dyDescent="0.25">
      <c r="A16" s="376"/>
      <c r="B16" s="47">
        <f>J16/3*O16</f>
        <v>0</v>
      </c>
      <c r="C16" s="47">
        <f>IF($J$6&gt;1,IF($U$1&lt;&gt;0,IF(O16*(1+$O$6)&lt;=$U$1*0.25,O16*K16/3*(1+$O$6),$U$1*0.25*K16/3),O16*K16/3*(1+$O$6)),0)</f>
        <v>0</v>
      </c>
      <c r="D16" s="47">
        <f>IF($J$6&gt;2,IF($U$1&lt;&gt;0,IF(O16*(1+$O$6)^2&lt;=$U$1*0.25,O16*L16/3*(1+$O$6)^2,$U$1*0.25*L16/3),O16*L16/3*(1+$O$6)^2),0)</f>
        <v>0</v>
      </c>
      <c r="E16" s="47">
        <f>IF($J$6&gt;3,IF($U$1&lt;&gt;0,IF(O16*(1+$O$6)^3&lt;=$U$1*0.25,O16*M16/3*(1+$O$6)^3,$U$1*0.25*M16/3),O16*M16/3*(1+$O$6)^3),0)</f>
        <v>0</v>
      </c>
      <c r="F16" s="47">
        <f>IF($J$6&gt;4,IF($U$1&lt;&gt;0,IF(O16*(1+$O$6)^4&lt;=$U$1*0.25,O16*N16/3*(1+$O$6)^4,$U$1*0.25*N16/3),O16*N16/3*(1+$O$6)^4),0)</f>
        <v>0</v>
      </c>
      <c r="G16" s="46">
        <f>SUM(B16:F16)</f>
        <v>0</v>
      </c>
      <c r="H16" s="14"/>
      <c r="I16" s="89" t="s">
        <v>17</v>
      </c>
      <c r="J16" s="15">
        <v>0</v>
      </c>
      <c r="K16" s="15">
        <f t="shared" si="4"/>
        <v>0</v>
      </c>
      <c r="L16" s="15">
        <f t="shared" si="5"/>
        <v>0</v>
      </c>
      <c r="M16" s="15">
        <f t="shared" si="6"/>
        <v>0</v>
      </c>
      <c r="N16" s="15">
        <f t="shared" si="7"/>
        <v>0</v>
      </c>
      <c r="O16" s="128">
        <f>IF(U17="A",IF($U$1&lt;&gt;0,IF(T17*0.00072*464&gt;($U$1/12*3),($U$1/12*3),T17*0.00072*464),T17*0.00072*464),0)</f>
        <v>0</v>
      </c>
      <c r="P16" s="138"/>
      <c r="Q16" s="138" t="e">
        <f>((SUM(J13:N13)-SUM(J15:N15)*9)/(CEILING($J$6*3,3)))*3</f>
        <v>#DIV/0!</v>
      </c>
      <c r="R16" s="12"/>
      <c r="S16" s="12"/>
      <c r="V16" s="240"/>
      <c r="Y16"/>
      <c r="Z16"/>
    </row>
    <row r="17" spans="1:26" hidden="1" outlineLevel="1" x14ac:dyDescent="0.25">
      <c r="A17" s="18"/>
      <c r="B17" s="47"/>
      <c r="C17" s="47"/>
      <c r="D17" s="48"/>
      <c r="E17" s="48"/>
      <c r="F17" s="48"/>
      <c r="G17" s="49"/>
      <c r="H17" s="19"/>
      <c r="I17" s="149" t="s">
        <v>111</v>
      </c>
      <c r="J17" s="167">
        <f>SUM(B14:B16)*$V17</f>
        <v>0</v>
      </c>
      <c r="K17" s="167">
        <f>SUM(C14:C16)*$V17</f>
        <v>0</v>
      </c>
      <c r="L17" s="167">
        <f>SUM(D14:D16)*$V17</f>
        <v>0</v>
      </c>
      <c r="M17" s="167">
        <f>SUM(E14:E16)*$V17</f>
        <v>0</v>
      </c>
      <c r="N17" s="167">
        <f>SUM(F14:F16)*$V17</f>
        <v>0</v>
      </c>
      <c r="O17" s="21"/>
      <c r="P17" s="138"/>
      <c r="Q17" s="138"/>
      <c r="R17" s="12"/>
      <c r="S17" s="12"/>
      <c r="T17" s="151"/>
      <c r="U17" s="152"/>
      <c r="V17" s="245"/>
      <c r="W17" s="153"/>
      <c r="Y17"/>
      <c r="Z17"/>
    </row>
    <row r="18" spans="1:26" hidden="1" outlineLevel="1" x14ac:dyDescent="0.25">
      <c r="A18" s="22" t="s">
        <v>84</v>
      </c>
      <c r="B18" s="47"/>
      <c r="C18" s="48"/>
      <c r="D18" s="48"/>
      <c r="E18" s="48"/>
      <c r="F18" s="48"/>
      <c r="G18" s="46"/>
      <c r="I18" s="89" t="s">
        <v>132</v>
      </c>
      <c r="J18" s="166">
        <f>IF(U22="F",J19*12,SUM(J20*9,J21))</f>
        <v>0</v>
      </c>
      <c r="K18" s="166">
        <f>IF(U22="F",K19*12,SUM(K20*9,K21))</f>
        <v>0</v>
      </c>
      <c r="L18" s="166">
        <f>IF(U22="F",L19*12,SUM(L20*9,L21))</f>
        <v>0</v>
      </c>
      <c r="M18" s="166">
        <f>IF(U22="F",M19*12,SUM(M20*9,M21))</f>
        <v>0</v>
      </c>
      <c r="N18" s="166">
        <f>IF(U22="F",N19*12,SUM(N20*9,N21))</f>
        <v>0</v>
      </c>
      <c r="O18" s="41" t="s">
        <v>51</v>
      </c>
      <c r="P18" s="134" t="s">
        <v>130</v>
      </c>
      <c r="Q18" s="134" t="s">
        <v>131</v>
      </c>
      <c r="R18" s="11"/>
      <c r="S18" s="12"/>
      <c r="T18" s="78"/>
      <c r="V18" s="240"/>
      <c r="Y18"/>
      <c r="Z18"/>
    </row>
    <row r="19" spans="1:26" hidden="1" outlineLevel="1" x14ac:dyDescent="0.25">
      <c r="A19" s="13" t="e">
        <f>ROUND(P19*100, 2)&amp;"% Avg. Fiscal Effort, "&amp;ROUND(Q19, 2)&amp;" Avg. Calendar Months"</f>
        <v>#DIV/0!</v>
      </c>
      <c r="B19" s="47">
        <f>O19*J19</f>
        <v>0</v>
      </c>
      <c r="C19" s="47">
        <f>IF($J$6&gt;1,IF($U$1&lt;&gt;0,IF(O19*(1+$O$6)&lt;=$U$1,O19*K19*(1+$O$6),$U$1*K19),O19*K19*(1+$O$6)),0)</f>
        <v>0</v>
      </c>
      <c r="D19" s="47">
        <f>IF($J$6&gt;2,IF($U$1&lt;&gt;0,IF(O19*(1+$O$6)^2&lt;=$U$1,O19*L19*(1+$O$6)^2,$U$1*L19),O19*L19*(1+$O$6)^2),0)</f>
        <v>0</v>
      </c>
      <c r="E19" s="47">
        <f>IF($J$6&gt;3,IF($U$1&lt;&gt;0,IF(O19*(1+$O$6)^3&lt;=$U$1,O19*M19*(1+$O$6)^3,$U$1*M19),O19*M19*(1+$O$6)^3),0)</f>
        <v>0</v>
      </c>
      <c r="F19" s="47">
        <f>IF($J$6&gt;4,IF($U$1&lt;&gt;0,IF(O19*(1+$O$6)^4&lt;=$U$1,O19*N19*(1+$O$6)^4,$U$1*N19),O19*N19*(1+$O$6)^4),0)</f>
        <v>0</v>
      </c>
      <c r="G19" s="46">
        <f>SUM(B19:F19)</f>
        <v>0</v>
      </c>
      <c r="H19" s="14"/>
      <c r="I19" s="89" t="s">
        <v>26</v>
      </c>
      <c r="J19" s="16">
        <v>0</v>
      </c>
      <c r="K19" s="16">
        <f>IF($J$6&gt;1,J19,0)</f>
        <v>0</v>
      </c>
      <c r="L19" s="16">
        <f>IF($J$6&gt;2,K19,0)</f>
        <v>0</v>
      </c>
      <c r="M19" s="16">
        <f>IF($J$6&gt;3,L19,0)</f>
        <v>0</v>
      </c>
      <c r="N19" s="16">
        <f>IF($J$6&gt;4,M19,0)</f>
        <v>0</v>
      </c>
      <c r="O19" s="128">
        <f>IF(U22="F",IF($U$1&lt;&gt;0,IF(T22&gt;$U$1,$U$1,T22),T22),0)</f>
        <v>0</v>
      </c>
      <c r="P19" s="135" t="e">
        <f>SUM(J18:N18)/(ROUNDUP($J$6,0)*12)</f>
        <v>#DIV/0!</v>
      </c>
      <c r="Q19" s="136" t="e">
        <f>(SUM(J18:N18)/(CEILING($J$6*12,12)))*12</f>
        <v>#DIV/0!</v>
      </c>
      <c r="T19" s="78"/>
      <c r="V19" s="240"/>
      <c r="X19" s="17"/>
    </row>
    <row r="20" spans="1:26" hidden="1" outlineLevel="1" x14ac:dyDescent="0.25">
      <c r="A20" s="376" t="e">
        <f>ROUND(P19*100,2)&amp;"% Annualized Effort, "&amp;ROUND(Q20,2)&amp;" Avg. Academic Months
"&amp;IF(SUM(J21:N21)&gt;0," and "&amp;Q21 &amp;" Avg. Summer Months", "")</f>
        <v>#DIV/0!</v>
      </c>
      <c r="B20" s="47">
        <f>J20*O20</f>
        <v>0</v>
      </c>
      <c r="C20" s="47">
        <f>IF($J$6&gt;1,IF($U$1&lt;&gt;0,IF(O20*(1+$O$6)&lt;=$U$1*0.75,O20*K20*(1+$O$6),$U$1*0.75*K20),O20*K20*(1+$O$6)),0)</f>
        <v>0</v>
      </c>
      <c r="D20" s="47">
        <f>IF($J$6&gt;2,IF($U$1&lt;&gt;0,IF(O20*(1+$O$6)^2&lt;=$U$1*0.75,O20*L20*(1+$O$6)^2,$U$1*0.75*L20),O20*L20*(1+$O$6)^2),0)</f>
        <v>0</v>
      </c>
      <c r="E20" s="47">
        <f>IF($J$6&gt;3,IF($U$1&lt;&gt;0,IF(O20*(1+$O$6)^3&lt;=$U$1*0.75,O20*M20*(1+$O$6)^3,$U$1*0.75*M20),O20*M20*(1+$O$6)^3),0)</f>
        <v>0</v>
      </c>
      <c r="F20" s="47">
        <f>IF($J$6&gt;4,IF($U$1&lt;&gt;0,IF(O20*(1+$O$6)^4&lt;=$U$1*0.75,O20*N20*(1+$O$6)^4,$U$1*0.75*N20),O20*N20*(1+$O$6)^4),0)</f>
        <v>0</v>
      </c>
      <c r="G20" s="46">
        <f>SUM(B20:F20)</f>
        <v>0</v>
      </c>
      <c r="H20" s="14"/>
      <c r="I20" s="89" t="s">
        <v>15</v>
      </c>
      <c r="J20" s="16">
        <v>0</v>
      </c>
      <c r="K20" s="16">
        <f t="shared" ref="K20:K21" si="8">IF($J$6&gt;1,J20,0)</f>
        <v>0</v>
      </c>
      <c r="L20" s="16">
        <f t="shared" ref="L20:L21" si="9">IF($J$6&gt;2,K20,0)</f>
        <v>0</v>
      </c>
      <c r="M20" s="16">
        <f t="shared" ref="M20:M21" si="10">IF($J$6&gt;3,L20,0)</f>
        <v>0</v>
      </c>
      <c r="N20" s="16">
        <f t="shared" ref="N20:N21" si="11">IF($J$6&gt;4,M20,0)</f>
        <v>0</v>
      </c>
      <c r="O20" s="128">
        <f>IF(U22="A",IF($U$1&lt;&gt;0,IF(T22&gt;($U$1/12*9),($U$1/12*9),T22),T22),0)</f>
        <v>0</v>
      </c>
      <c r="P20" s="194"/>
      <c r="Q20" s="137" t="e">
        <f>((SUM(J18:N18)-SUM(J21:N21))/(CEILING($J$6*9,9)))*9</f>
        <v>#DIV/0!</v>
      </c>
      <c r="R20" s="12"/>
      <c r="S20" s="12"/>
      <c r="T20" s="78"/>
      <c r="V20" s="240"/>
    </row>
    <row r="21" spans="1:26" hidden="1" outlineLevel="1" x14ac:dyDescent="0.25">
      <c r="A21" s="376"/>
      <c r="B21" s="47">
        <f>J21/3*O21</f>
        <v>0</v>
      </c>
      <c r="C21" s="47">
        <f>IF($J$6&gt;1,IF($U$1&lt;&gt;0,IF(O21*(1+$O$6)&lt;=$U$1*0.25,O21*K21/3*(1+$O$6),$U$1*0.25*K21/3),O21*K21/3*(1+$O$6)),0)</f>
        <v>0</v>
      </c>
      <c r="D21" s="47">
        <f>IF($J$6&gt;2,IF($U$1&lt;&gt;0,IF(O21*(1+$O$6)^2&lt;=$U$1*0.25,O21*L21/3*(1+$O$6)^2,$U$1*0.25*L21/3),O21*L21/3*(1+$O$6)^2),0)</f>
        <v>0</v>
      </c>
      <c r="E21" s="47">
        <f>IF($J$6&gt;3,IF($U$1&lt;&gt;0,IF(O21*(1+$O$6)^3&lt;=$U$1*0.25,O21*M21/3*(1+$O$6)^3,$U$1*0.25*M21/3),O21*M21/3*(1+$O$6)^3),0)</f>
        <v>0</v>
      </c>
      <c r="F21" s="47">
        <f>IF($J$6&gt;4,IF($U$1&lt;&gt;0,IF(O21*(1+$O$6)^4&lt;=$U$1*0.25,O21*N21/3*(1+$O$6)^4,$U$1*0.25*N21/3),O21*N21/3*(1+$O$6)^4),0)</f>
        <v>0</v>
      </c>
      <c r="G21" s="46">
        <f>SUM(B21:F21)</f>
        <v>0</v>
      </c>
      <c r="H21" s="14"/>
      <c r="I21" s="89" t="s">
        <v>17</v>
      </c>
      <c r="J21" s="15">
        <v>0</v>
      </c>
      <c r="K21" s="15">
        <f t="shared" si="8"/>
        <v>0</v>
      </c>
      <c r="L21" s="15">
        <f t="shared" si="9"/>
        <v>0</v>
      </c>
      <c r="M21" s="15">
        <f t="shared" si="10"/>
        <v>0</v>
      </c>
      <c r="N21" s="15">
        <f t="shared" si="11"/>
        <v>0</v>
      </c>
      <c r="O21" s="128">
        <f>IF(U22="A",IF($U$1&lt;&gt;0,IF(T22*0.00072*464&gt;($U$1/12*3),($U$1/12*3),T22*0.00072*464),T22*0.00072*464),0)</f>
        <v>0</v>
      </c>
      <c r="P21" s="138"/>
      <c r="Q21" s="138" t="e">
        <f>((SUM(J18:N18)-SUM(J20:N20)*9)/(CEILING($J$6*3,3)))*3</f>
        <v>#DIV/0!</v>
      </c>
      <c r="R21" s="12"/>
      <c r="S21" s="12"/>
      <c r="V21" s="240"/>
    </row>
    <row r="22" spans="1:26" hidden="1" outlineLevel="1" x14ac:dyDescent="0.25">
      <c r="A22" s="18"/>
      <c r="B22" s="47"/>
      <c r="C22" s="47"/>
      <c r="D22" s="48"/>
      <c r="E22" s="48"/>
      <c r="F22" s="48"/>
      <c r="G22" s="49"/>
      <c r="H22" s="19"/>
      <c r="I22" s="149" t="s">
        <v>111</v>
      </c>
      <c r="J22" s="167">
        <f>SUM(B19:B21)*$V22</f>
        <v>0</v>
      </c>
      <c r="K22" s="167">
        <f>SUM(C19:C21)*$V22</f>
        <v>0</v>
      </c>
      <c r="L22" s="167">
        <f>SUM(D19:D21)*$V22</f>
        <v>0</v>
      </c>
      <c r="M22" s="167">
        <f>SUM(E19:E21)*$V22</f>
        <v>0</v>
      </c>
      <c r="N22" s="167">
        <f>SUM(F19:F21)*$V22</f>
        <v>0</v>
      </c>
      <c r="O22" s="21"/>
      <c r="P22" s="138"/>
      <c r="Q22" s="138"/>
      <c r="R22" s="12"/>
      <c r="S22" s="12"/>
      <c r="T22" s="151"/>
      <c r="U22" s="152"/>
      <c r="V22" s="245"/>
      <c r="W22" s="153"/>
    </row>
    <row r="23" spans="1:26" hidden="1" outlineLevel="1" x14ac:dyDescent="0.25">
      <c r="A23" s="22" t="s">
        <v>84</v>
      </c>
      <c r="B23" s="47"/>
      <c r="C23" s="48"/>
      <c r="D23" s="48"/>
      <c r="E23" s="48"/>
      <c r="F23" s="48"/>
      <c r="G23" s="46"/>
      <c r="I23" s="89" t="s">
        <v>132</v>
      </c>
      <c r="J23" s="166">
        <f>IF(U27="F",J24*12,SUM(J25*9,J26))</f>
        <v>0</v>
      </c>
      <c r="K23" s="166">
        <f>IF(U27="F",K24*12,SUM(K25*9,K26))</f>
        <v>0</v>
      </c>
      <c r="L23" s="166">
        <f>IF(U27="F",L24*12,SUM(L25*9,L26))</f>
        <v>0</v>
      </c>
      <c r="M23" s="166">
        <f>IF(U27="F",M24*12,SUM(M25*9,M26))</f>
        <v>0</v>
      </c>
      <c r="N23" s="166">
        <f>IF(U27="F",N24*12,SUM(N25*9,N26))</f>
        <v>0</v>
      </c>
      <c r="O23" s="41" t="s">
        <v>51</v>
      </c>
      <c r="P23" s="134" t="s">
        <v>130</v>
      </c>
      <c r="Q23" s="134" t="s">
        <v>131</v>
      </c>
      <c r="R23" s="11"/>
      <c r="S23" s="12"/>
      <c r="T23" s="78"/>
      <c r="V23" s="240"/>
    </row>
    <row r="24" spans="1:26" hidden="1" outlineLevel="1" x14ac:dyDescent="0.25">
      <c r="A24" s="13" t="e">
        <f>ROUND(P24*100, 2)&amp;"% Avg. Fiscal Effort, "&amp;ROUND(Q24, 2)&amp;" Avg. Calendar Months"</f>
        <v>#DIV/0!</v>
      </c>
      <c r="B24" s="47">
        <f>O24*J24</f>
        <v>0</v>
      </c>
      <c r="C24" s="47">
        <f>IF($J$6&gt;1,IF($U$1&lt;&gt;0,IF(O24*(1+$O$6)&lt;=$U$1,O24*K24*(1+$O$6),$U$1*K24),O24*K24*(1+$O$6)),0)</f>
        <v>0</v>
      </c>
      <c r="D24" s="47">
        <f>IF($J$6&gt;2,IF($U$1&lt;&gt;0,IF(O24*(1+$O$6)^2&lt;=$U$1,O24*L24*(1+$O$6)^2,$U$1*L24),O24*L24*(1+$O$6)^2),0)</f>
        <v>0</v>
      </c>
      <c r="E24" s="47">
        <f>IF($J$6&gt;3,IF($U$1&lt;&gt;0,IF(O24*(1+$O$6)^3&lt;=$U$1,O24*M24*(1+$O$6)^3,$U$1*M24),O24*M24*(1+$O$6)^3),0)</f>
        <v>0</v>
      </c>
      <c r="F24" s="47">
        <f>IF($J$6&gt;4,IF($U$1&lt;&gt;0,IF(O24*(1+$O$6)^4&lt;=$U$1,O24*N24*(1+$O$6)^4,$U$1*N24),O24*N24*(1+$O$6)^4),0)</f>
        <v>0</v>
      </c>
      <c r="G24" s="46">
        <f>SUM(B24:F24)</f>
        <v>0</v>
      </c>
      <c r="H24" s="14"/>
      <c r="I24" s="89" t="s">
        <v>26</v>
      </c>
      <c r="J24" s="16">
        <v>0</v>
      </c>
      <c r="K24" s="16">
        <f>IF($J$6&gt;1,J24,0)</f>
        <v>0</v>
      </c>
      <c r="L24" s="16">
        <f>IF($J$6&gt;2,K24,0)</f>
        <v>0</v>
      </c>
      <c r="M24" s="16">
        <f>IF($J$6&gt;3,L24,0)</f>
        <v>0</v>
      </c>
      <c r="N24" s="16">
        <f>IF($J$6&gt;4,M24,0)</f>
        <v>0</v>
      </c>
      <c r="O24" s="128">
        <f>IF(U27="F",IF($U$1&lt;&gt;0,IF(T27&gt;$U$1,$U$1,T27),T27),0)</f>
        <v>0</v>
      </c>
      <c r="P24" s="135" t="e">
        <f>SUM(J23:N23)/(ROUNDUP($J$6,0)*12)</f>
        <v>#DIV/0!</v>
      </c>
      <c r="Q24" s="136" t="e">
        <f>(SUM(J23:N23)/(CEILING($J$6*12,12)))*12</f>
        <v>#DIV/0!</v>
      </c>
      <c r="T24" s="78"/>
      <c r="V24" s="240"/>
      <c r="X24" s="17"/>
    </row>
    <row r="25" spans="1:26" hidden="1" outlineLevel="1" x14ac:dyDescent="0.25">
      <c r="A25" s="376" t="e">
        <f>ROUND(P24*100,2)&amp;"% Annualized Effort, "&amp;ROUND(Q25,2)&amp;" Avg. Academic Months
"&amp;IF(SUM(J26:N26)&gt;0," and "&amp;Q26 &amp;" Avg. Summer Months", "")</f>
        <v>#DIV/0!</v>
      </c>
      <c r="B25" s="47">
        <f>J25*O25</f>
        <v>0</v>
      </c>
      <c r="C25" s="47">
        <f>IF($J$6&gt;1,IF($U$1&lt;&gt;0,IF(O25*(1+$O$6)&lt;=$U$1*0.75,O25*K25*(1+$O$6),$U$1*0.75*K25),O25*K25*(1+$O$6)),0)</f>
        <v>0</v>
      </c>
      <c r="D25" s="47">
        <f>IF($J$6&gt;2,IF($U$1&lt;&gt;0,IF(O25*(1+$O$6)^2&lt;=$U$1*0.75,O25*L25*(1+$O$6)^2,$U$1*0.75*L25),O25*L25*(1+$O$6)^2),0)</f>
        <v>0</v>
      </c>
      <c r="E25" s="47">
        <f>IF($J$6&gt;3,IF($U$1&lt;&gt;0,IF(O25*(1+$O$6)^3&lt;=$U$1*0.75,O25*M25*(1+$O$6)^3,$U$1*0.75*M25),O25*M25*(1+$O$6)^3),0)</f>
        <v>0</v>
      </c>
      <c r="F25" s="47">
        <f>IF($J$6&gt;4,IF($U$1&lt;&gt;0,IF(O25*(1+$O$6)^4&lt;=$U$1*0.75,O25*N25*(1+$O$6)^4,$U$1*0.75*N25),O25*N25*(1+$O$6)^4),0)</f>
        <v>0</v>
      </c>
      <c r="G25" s="46">
        <f>SUM(B25:F25)</f>
        <v>0</v>
      </c>
      <c r="H25" s="14"/>
      <c r="I25" s="89" t="s">
        <v>15</v>
      </c>
      <c r="J25" s="16">
        <v>0</v>
      </c>
      <c r="K25" s="16">
        <f t="shared" ref="K25:K26" si="12">IF($J$6&gt;1,J25,0)</f>
        <v>0</v>
      </c>
      <c r="L25" s="16">
        <f t="shared" ref="L25:L26" si="13">IF($J$6&gt;2,K25,0)</f>
        <v>0</v>
      </c>
      <c r="M25" s="16">
        <f t="shared" ref="M25:M26" si="14">IF($J$6&gt;3,L25,0)</f>
        <v>0</v>
      </c>
      <c r="N25" s="16">
        <f t="shared" ref="N25:N26" si="15">IF($J$6&gt;4,M25,0)</f>
        <v>0</v>
      </c>
      <c r="O25" s="128">
        <f>IF(U27="A",IF($U$1&lt;&gt;0,IF(T27&gt;($U$1/12*9),($U$1/12*9),T27),T27),0)</f>
        <v>0</v>
      </c>
      <c r="P25" s="194"/>
      <c r="Q25" s="137" t="e">
        <f>((SUM(J23:N23)-SUM(J26:N26))/(CEILING($J$6*9,9)))*9</f>
        <v>#DIV/0!</v>
      </c>
      <c r="R25" s="12"/>
      <c r="S25" s="12"/>
      <c r="T25" s="78"/>
      <c r="V25" s="240"/>
    </row>
    <row r="26" spans="1:26" hidden="1" outlineLevel="1" x14ac:dyDescent="0.25">
      <c r="A26" s="376"/>
      <c r="B26" s="47">
        <f>J26/3*O26</f>
        <v>0</v>
      </c>
      <c r="C26" s="47">
        <f>IF($J$6&gt;1,IF($U$1&lt;&gt;0,IF(O26*(1+$O$6)&lt;=$U$1*0.25,O26*K26/3*(1+$O$6),$U$1*0.25*K26/3),O26*K26/3*(1+$O$6)),0)</f>
        <v>0</v>
      </c>
      <c r="D26" s="47">
        <f>IF($J$6&gt;2,IF($U$1&lt;&gt;0,IF(O26*(1+$O$6)^2&lt;=$U$1*0.25,O26*L26/3*(1+$O$6)^2,$U$1*0.25*L26/3),O26*L26/3*(1+$O$6)^2),0)</f>
        <v>0</v>
      </c>
      <c r="E26" s="47">
        <f>IF($J$6&gt;3,IF($U$1&lt;&gt;0,IF(O26*(1+$O$6)^3&lt;=$U$1*0.25,O26*M26/3*(1+$O$6)^3,$U$1*0.25*M26/3),O26*M26/3*(1+$O$6)^3),0)</f>
        <v>0</v>
      </c>
      <c r="F26" s="47">
        <f>IF($J$6&gt;4,IF($U$1&lt;&gt;0,IF(O26*(1+$O$6)^4&lt;=$U$1*0.25,O26*N26/3*(1+$O$6)^4,$U$1*0.25*N26/3),O26*N26/3*(1+$O$6)^4),0)</f>
        <v>0</v>
      </c>
      <c r="G26" s="46">
        <f>SUM(B26:F26)</f>
        <v>0</v>
      </c>
      <c r="H26" s="14"/>
      <c r="I26" s="89" t="s">
        <v>17</v>
      </c>
      <c r="J26" s="15">
        <v>0</v>
      </c>
      <c r="K26" s="15">
        <f t="shared" si="12"/>
        <v>0</v>
      </c>
      <c r="L26" s="15">
        <f t="shared" si="13"/>
        <v>0</v>
      </c>
      <c r="M26" s="15">
        <f t="shared" si="14"/>
        <v>0</v>
      </c>
      <c r="N26" s="15">
        <f t="shared" si="15"/>
        <v>0</v>
      </c>
      <c r="O26" s="128">
        <f>IF(U27="A",IF($U$1&lt;&gt;0,IF(T27*0.00072*464&gt;($U$1/12*3),($U$1/12*3),T27*0.00072*464),T27*0.00072*464),0)</f>
        <v>0</v>
      </c>
      <c r="P26" s="138"/>
      <c r="Q26" s="138" t="e">
        <f>((SUM(J23:N23)-SUM(J25:N25)*9)/(CEILING($J$6*3,3)))*3</f>
        <v>#DIV/0!</v>
      </c>
      <c r="R26" s="12"/>
      <c r="S26" s="12"/>
      <c r="V26" s="240"/>
    </row>
    <row r="27" spans="1:26" hidden="1" outlineLevel="1" x14ac:dyDescent="0.25">
      <c r="A27" s="18"/>
      <c r="B27" s="47"/>
      <c r="C27" s="47"/>
      <c r="D27" s="48"/>
      <c r="E27" s="48"/>
      <c r="F27" s="48"/>
      <c r="G27" s="49"/>
      <c r="H27" s="19"/>
      <c r="I27" s="149" t="s">
        <v>111</v>
      </c>
      <c r="J27" s="167">
        <f>SUM(B24:B26)*$V27</f>
        <v>0</v>
      </c>
      <c r="K27" s="167">
        <f>SUM(C24:C26)*$V27</f>
        <v>0</v>
      </c>
      <c r="L27" s="167">
        <f>SUM(D24:D26)*$V27</f>
        <v>0</v>
      </c>
      <c r="M27" s="167">
        <f>SUM(E24:E26)*$V27</f>
        <v>0</v>
      </c>
      <c r="N27" s="167">
        <f>SUM(F24:F26)*$V27</f>
        <v>0</v>
      </c>
      <c r="O27" s="21"/>
      <c r="P27" s="138"/>
      <c r="Q27" s="138"/>
      <c r="R27" s="12"/>
      <c r="S27" s="12"/>
      <c r="T27" s="151"/>
      <c r="U27" s="152"/>
      <c r="V27" s="245"/>
      <c r="W27" s="153"/>
    </row>
    <row r="28" spans="1:26" hidden="1" outlineLevel="1" x14ac:dyDescent="0.25">
      <c r="A28" s="22" t="s">
        <v>84</v>
      </c>
      <c r="B28" s="47"/>
      <c r="C28" s="48"/>
      <c r="D28" s="48"/>
      <c r="E28" s="48"/>
      <c r="F28" s="48"/>
      <c r="G28" s="46"/>
      <c r="I28" s="89" t="s">
        <v>132</v>
      </c>
      <c r="J28" s="166">
        <f>IF(U32="F",J29*12,SUM(J30*9,J31))</f>
        <v>0</v>
      </c>
      <c r="K28" s="166">
        <f>IF(U32="F",K29*12,SUM(K30*9,K31))</f>
        <v>0</v>
      </c>
      <c r="L28" s="166">
        <f>IF(U32="F",L29*12,SUM(L30*9,L31))</f>
        <v>0</v>
      </c>
      <c r="M28" s="166">
        <f>IF(U32="F",M29*12,SUM(M30*9,M31))</f>
        <v>0</v>
      </c>
      <c r="N28" s="166">
        <f>IF(U32="F",N29*12,SUM(N30*9,N31))</f>
        <v>0</v>
      </c>
      <c r="O28" s="41" t="s">
        <v>51</v>
      </c>
      <c r="P28" s="134" t="s">
        <v>130</v>
      </c>
      <c r="Q28" s="134" t="s">
        <v>131</v>
      </c>
      <c r="R28" s="11"/>
      <c r="S28" s="12"/>
      <c r="T28" s="78"/>
      <c r="V28" s="240"/>
    </row>
    <row r="29" spans="1:26" hidden="1" outlineLevel="1" x14ac:dyDescent="0.25">
      <c r="A29" s="13" t="e">
        <f>ROUND(P29*100, 2)&amp;"% Avg. Fiscal Effort, "&amp;ROUND(Q29, 2)&amp;" Avg. Calendar Months"</f>
        <v>#DIV/0!</v>
      </c>
      <c r="B29" s="47">
        <f>O29*J29</f>
        <v>0</v>
      </c>
      <c r="C29" s="47">
        <f>IF($J$6&gt;1,IF($U$1&lt;&gt;0,IF(O29*(1+$O$6)&lt;=$U$1,O29*K29*(1+$O$6),$U$1*K29),O29*K29*(1+$O$6)),0)</f>
        <v>0</v>
      </c>
      <c r="D29" s="47">
        <f>IF($J$6&gt;2,IF($U$1&lt;&gt;0,IF(O29*(1+$O$6)^2&lt;=$U$1,O29*L29*(1+$O$6)^2,$U$1*L29),O29*L29*(1+$O$6)^2),0)</f>
        <v>0</v>
      </c>
      <c r="E29" s="47">
        <f>IF($J$6&gt;3,IF($U$1&lt;&gt;0,IF(O29*(1+$O$6)^3&lt;=$U$1,O29*M29*(1+$O$6)^3,$U$1*M29),O29*M29*(1+$O$6)^3),0)</f>
        <v>0</v>
      </c>
      <c r="F29" s="47">
        <f>IF($J$6&gt;4,IF($U$1&lt;&gt;0,IF(O29*(1+$O$6)^4&lt;=$U$1,O29*N29*(1+$O$6)^4,$U$1*N29),O29*N29*(1+$O$6)^4),0)</f>
        <v>0</v>
      </c>
      <c r="G29" s="46">
        <f>SUM(B29:F29)</f>
        <v>0</v>
      </c>
      <c r="H29" s="14"/>
      <c r="I29" s="89" t="s">
        <v>26</v>
      </c>
      <c r="J29" s="16">
        <v>0</v>
      </c>
      <c r="K29" s="16">
        <f>IF($J$6&gt;1,J29,0)</f>
        <v>0</v>
      </c>
      <c r="L29" s="16">
        <f>IF($J$6&gt;2,K29,0)</f>
        <v>0</v>
      </c>
      <c r="M29" s="16">
        <f>IF($J$6&gt;3,L29,0)</f>
        <v>0</v>
      </c>
      <c r="N29" s="16">
        <f>IF($J$6&gt;4,M29,0)</f>
        <v>0</v>
      </c>
      <c r="O29" s="128">
        <f>IF(U32="F",IF($U$1&lt;&gt;0,IF(T32&gt;$U$1,$U$1,T32),T32),0)</f>
        <v>0</v>
      </c>
      <c r="P29" s="135" t="e">
        <f>SUM(J28:N28)/(ROUNDUP($J$6,0)*12)</f>
        <v>#DIV/0!</v>
      </c>
      <c r="Q29" s="136" t="e">
        <f>(SUM(J28:N28)/(CEILING($J$6*12,12)))*12</f>
        <v>#DIV/0!</v>
      </c>
      <c r="T29" s="78"/>
      <c r="V29" s="240"/>
      <c r="X29" s="17"/>
    </row>
    <row r="30" spans="1:26" hidden="1" outlineLevel="1" x14ac:dyDescent="0.25">
      <c r="A30" s="376" t="e">
        <f>ROUND(P29*100,2)&amp;"% Annualized Effort, "&amp;ROUND(Q30,2)&amp;" Avg. Academic Months
"&amp;IF(SUM(J31:N31)&gt;0," and "&amp;Q31 &amp;" Avg. Summer Months", "")</f>
        <v>#DIV/0!</v>
      </c>
      <c r="B30" s="47">
        <f>J30*O30</f>
        <v>0</v>
      </c>
      <c r="C30" s="47">
        <f>IF($J$6&gt;1,IF($U$1&lt;&gt;0,IF(O30*(1+$O$6)&lt;=$U$1*0.75,O30*K30*(1+$O$6),$U$1*0.75*K30),O30*K30*(1+$O$6)),0)</f>
        <v>0</v>
      </c>
      <c r="D30" s="47">
        <f>IF($J$6&gt;2,IF($U$1&lt;&gt;0,IF(O30*(1+$O$6)^2&lt;=$U$1*0.75,O30*L30*(1+$O$6)^2,$U$1*0.75*L30),O30*L30*(1+$O$6)^2),0)</f>
        <v>0</v>
      </c>
      <c r="E30" s="47">
        <f>IF($J$6&gt;3,IF($U$1&lt;&gt;0,IF(O30*(1+$O$6)^3&lt;=$U$1*0.75,O30*M30*(1+$O$6)^3,$U$1*0.75*M30),O30*M30*(1+$O$6)^3),0)</f>
        <v>0</v>
      </c>
      <c r="F30" s="47">
        <f>IF($J$6&gt;4,IF($U$1&lt;&gt;0,IF(O30*(1+$O$6)^4&lt;=$U$1*0.75,O30*N30*(1+$O$6)^4,$U$1*0.75*N30),O30*N30*(1+$O$6)^4),0)</f>
        <v>0</v>
      </c>
      <c r="G30" s="46">
        <f>SUM(B30:F30)</f>
        <v>0</v>
      </c>
      <c r="H30" s="14"/>
      <c r="I30" s="89" t="s">
        <v>15</v>
      </c>
      <c r="J30" s="16">
        <v>0</v>
      </c>
      <c r="K30" s="16">
        <f t="shared" ref="K30:K31" si="16">IF($J$6&gt;1,J30,0)</f>
        <v>0</v>
      </c>
      <c r="L30" s="16">
        <f t="shared" ref="L30:L31" si="17">IF($J$6&gt;2,K30,0)</f>
        <v>0</v>
      </c>
      <c r="M30" s="16">
        <f t="shared" ref="M30:M31" si="18">IF($J$6&gt;3,L30,0)</f>
        <v>0</v>
      </c>
      <c r="N30" s="16">
        <f t="shared" ref="N30:N31" si="19">IF($J$6&gt;4,M30,0)</f>
        <v>0</v>
      </c>
      <c r="O30" s="128">
        <f>IF(U32="A",IF($U$1&lt;&gt;0,IF(T32&gt;($U$1/12*9),($U$1/12*9),T32),T32),0)</f>
        <v>0</v>
      </c>
      <c r="P30" s="194"/>
      <c r="Q30" s="137" t="e">
        <f>((SUM(J28:N28)-SUM(J31:N31))/(CEILING($J$6*9,9)))*9</f>
        <v>#DIV/0!</v>
      </c>
      <c r="R30" s="12"/>
      <c r="S30" s="12"/>
      <c r="T30" s="78"/>
      <c r="V30" s="240"/>
    </row>
    <row r="31" spans="1:26" hidden="1" outlineLevel="1" x14ac:dyDescent="0.25">
      <c r="A31" s="376"/>
      <c r="B31" s="47">
        <f>J31/3*O31</f>
        <v>0</v>
      </c>
      <c r="C31" s="47">
        <f>IF($J$6&gt;1,IF($U$1&lt;&gt;0,IF(O31*(1+$O$6)&lt;=$U$1*0.25,O31*K31/3*(1+$O$6),$U$1*0.25*K31/3),O31*K31/3*(1+$O$6)),0)</f>
        <v>0</v>
      </c>
      <c r="D31" s="47">
        <f>IF($J$6&gt;2,IF($U$1&lt;&gt;0,IF(O31*(1+$O$6)^2&lt;=$U$1*0.25,O31*L31/3*(1+$O$6)^2,$U$1*0.25*L31/3),O31*L31/3*(1+$O$6)^2),0)</f>
        <v>0</v>
      </c>
      <c r="E31" s="47">
        <f>IF($J$6&gt;3,IF($U$1&lt;&gt;0,IF(O31*(1+$O$6)^3&lt;=$U$1*0.25,O31*M31/3*(1+$O$6)^3,$U$1*0.25*M31/3),O31*M31/3*(1+$O$6)^3),0)</f>
        <v>0</v>
      </c>
      <c r="F31" s="47">
        <f>IF($J$6&gt;4,IF($U$1&lt;&gt;0,IF(O31*(1+$O$6)^4&lt;=$U$1*0.25,O31*N31/3*(1+$O$6)^4,$U$1*0.25*N31/3),O31*N31/3*(1+$O$6)^4),0)</f>
        <v>0</v>
      </c>
      <c r="G31" s="46">
        <f>SUM(B31:F31)</f>
        <v>0</v>
      </c>
      <c r="H31" s="14"/>
      <c r="I31" s="89" t="s">
        <v>17</v>
      </c>
      <c r="J31" s="15">
        <v>0</v>
      </c>
      <c r="K31" s="15">
        <f t="shared" si="16"/>
        <v>0</v>
      </c>
      <c r="L31" s="15">
        <f t="shared" si="17"/>
        <v>0</v>
      </c>
      <c r="M31" s="15">
        <f t="shared" si="18"/>
        <v>0</v>
      </c>
      <c r="N31" s="15">
        <f t="shared" si="19"/>
        <v>0</v>
      </c>
      <c r="O31" s="128">
        <f>IF(U32="A",IF($U$1&lt;&gt;0,IF(T32*0.00072*464&gt;($U$1/12*3),($U$1/12*3),T32*0.00072*464),T32*0.00072*464),0)</f>
        <v>0</v>
      </c>
      <c r="P31" s="138"/>
      <c r="Q31" s="138" t="e">
        <f>((SUM(J28:N28)-SUM(J30:N30)*9)/(CEILING($J$6*3,3)))*3</f>
        <v>#DIV/0!</v>
      </c>
      <c r="R31" s="12"/>
      <c r="S31" s="12"/>
      <c r="V31" s="240"/>
    </row>
    <row r="32" spans="1:26" hidden="1" outlineLevel="1" x14ac:dyDescent="0.25">
      <c r="A32" s="18"/>
      <c r="B32" s="47"/>
      <c r="C32" s="47"/>
      <c r="D32" s="48"/>
      <c r="E32" s="48"/>
      <c r="F32" s="48"/>
      <c r="G32" s="49"/>
      <c r="H32" s="19"/>
      <c r="I32" s="149" t="s">
        <v>111</v>
      </c>
      <c r="J32" s="167">
        <f>SUM(B29:B31)*$V32</f>
        <v>0</v>
      </c>
      <c r="K32" s="167">
        <f>SUM(C29:C31)*$V32</f>
        <v>0</v>
      </c>
      <c r="L32" s="167">
        <f>SUM(D29:D31)*$V32</f>
        <v>0</v>
      </c>
      <c r="M32" s="167">
        <f>SUM(E29:E31)*$V32</f>
        <v>0</v>
      </c>
      <c r="N32" s="167">
        <f>SUM(F29:F31)*$V32</f>
        <v>0</v>
      </c>
      <c r="O32" s="21"/>
      <c r="P32" s="138"/>
      <c r="Q32" s="138"/>
      <c r="R32" s="12"/>
      <c r="S32" s="12"/>
      <c r="T32" s="151"/>
      <c r="U32" s="152"/>
      <c r="V32" s="245"/>
      <c r="W32" s="153"/>
    </row>
    <row r="33" spans="1:24" hidden="1" outlineLevel="1" x14ac:dyDescent="0.25">
      <c r="A33" s="22" t="s">
        <v>84</v>
      </c>
      <c r="B33" s="47"/>
      <c r="C33" s="48"/>
      <c r="D33" s="48"/>
      <c r="E33" s="48"/>
      <c r="F33" s="48"/>
      <c r="G33" s="46"/>
      <c r="I33" s="89" t="s">
        <v>132</v>
      </c>
      <c r="J33" s="166">
        <f>IF(U37="F",J34*12,SUM(J35*9,J36))</f>
        <v>0</v>
      </c>
      <c r="K33" s="166">
        <f>IF(U37="F",K34*12,SUM(K35*9,K36))</f>
        <v>0</v>
      </c>
      <c r="L33" s="166">
        <f>IF(U37="F",L34*12,SUM(L35*9,L36))</f>
        <v>0</v>
      </c>
      <c r="M33" s="166">
        <f>IF(U37="F",M34*12,SUM(M35*9,M36))</f>
        <v>0</v>
      </c>
      <c r="N33" s="166">
        <f>IF(U37="F",N34*12,SUM(N35*9,N36))</f>
        <v>0</v>
      </c>
      <c r="O33" s="41" t="s">
        <v>51</v>
      </c>
      <c r="P33" s="134" t="s">
        <v>130</v>
      </c>
      <c r="Q33" s="134" t="s">
        <v>131</v>
      </c>
      <c r="R33" s="11"/>
      <c r="S33" s="12"/>
      <c r="T33" s="78"/>
      <c r="V33" s="240"/>
    </row>
    <row r="34" spans="1:24" hidden="1" outlineLevel="1" x14ac:dyDescent="0.25">
      <c r="A34" s="13" t="e">
        <f>ROUND(P34*100, 2)&amp;"% Avg. Fiscal Effort, "&amp;ROUND(Q34, 2)&amp;" Avg. Calendar Months"</f>
        <v>#DIV/0!</v>
      </c>
      <c r="B34" s="47">
        <f>O34*J34</f>
        <v>0</v>
      </c>
      <c r="C34" s="47">
        <f>IF($J$6&gt;1,IF($U$1&lt;&gt;0,IF(O34*(1+$O$6)&lt;=$U$1,O34*K34*(1+$O$6),$U$1*K34),O34*K34*(1+$O$6)),0)</f>
        <v>0</v>
      </c>
      <c r="D34" s="47">
        <f>IF($J$6&gt;2,IF($U$1&lt;&gt;0,IF(O34*(1+$O$6)^2&lt;=$U$1,O34*L34*(1+$O$6)^2,$U$1*L34),O34*L34*(1+$O$6)^2),0)</f>
        <v>0</v>
      </c>
      <c r="E34" s="47">
        <f>IF($J$6&gt;3,IF($U$1&lt;&gt;0,IF(O34*(1+$O$6)^3&lt;=$U$1,O34*M34*(1+$O$6)^3,$U$1*M34),O34*M34*(1+$O$6)^3),0)</f>
        <v>0</v>
      </c>
      <c r="F34" s="47">
        <f>IF($J$6&gt;4,IF($U$1&lt;&gt;0,IF(O34*(1+$O$6)^4&lt;=$U$1,O34*N34*(1+$O$6)^4,$U$1*N34),O34*N34*(1+$O$6)^4),0)</f>
        <v>0</v>
      </c>
      <c r="G34" s="46">
        <f>SUM(B34:F34)</f>
        <v>0</v>
      </c>
      <c r="H34" s="14"/>
      <c r="I34" s="89" t="s">
        <v>26</v>
      </c>
      <c r="J34" s="16">
        <v>0</v>
      </c>
      <c r="K34" s="16">
        <f>IF($J$6&gt;1,J34,0)</f>
        <v>0</v>
      </c>
      <c r="L34" s="16">
        <f>IF($J$6&gt;2,K34,0)</f>
        <v>0</v>
      </c>
      <c r="M34" s="16">
        <f>IF($J$6&gt;3,L34,0)</f>
        <v>0</v>
      </c>
      <c r="N34" s="16">
        <f>IF($J$6&gt;4,M34,0)</f>
        <v>0</v>
      </c>
      <c r="O34" s="128">
        <f>IF(U37="F",IF($U$1&lt;&gt;0,IF(T37&gt;$U$1,$U$1,T37),T37),0)</f>
        <v>0</v>
      </c>
      <c r="P34" s="135" t="e">
        <f>SUM(J33:N33)/(ROUNDUP($J$6,0)*12)</f>
        <v>#DIV/0!</v>
      </c>
      <c r="Q34" s="136" t="e">
        <f>(SUM(J33:N33)/(CEILING($J$6*12,12)))*12</f>
        <v>#DIV/0!</v>
      </c>
      <c r="T34" s="78"/>
      <c r="V34" s="240"/>
      <c r="X34" s="17"/>
    </row>
    <row r="35" spans="1:24" hidden="1" outlineLevel="1" x14ac:dyDescent="0.25">
      <c r="A35" s="376" t="e">
        <f>ROUND(P34*100,2)&amp;"% Annualized Effort, "&amp;ROUND(Q35,2)&amp;" Avg. Academic Months
"&amp;IF(SUM(J36:N36)&gt;0," and "&amp;Q36 &amp;" Avg. Summer Months", "")</f>
        <v>#DIV/0!</v>
      </c>
      <c r="B35" s="47">
        <f>J35*O35</f>
        <v>0</v>
      </c>
      <c r="C35" s="47">
        <f>IF($J$6&gt;1,IF($U$1&lt;&gt;0,IF(O35*(1+$O$6)&lt;=$U$1*0.75,O35*K35*(1+$O$6),$U$1*0.75*K35),O35*K35*(1+$O$6)),0)</f>
        <v>0</v>
      </c>
      <c r="D35" s="47">
        <f>IF($J$6&gt;2,IF($U$1&lt;&gt;0,IF(O35*(1+$O$6)^2&lt;=$U$1*0.75,O35*L35*(1+$O$6)^2,$U$1*0.75*L35),O35*L35*(1+$O$6)^2),0)</f>
        <v>0</v>
      </c>
      <c r="E35" s="47">
        <f>IF($J$6&gt;3,IF($U$1&lt;&gt;0,IF(O35*(1+$O$6)^3&lt;=$U$1*0.75,O35*M35*(1+$O$6)^3,$U$1*0.75*M35),O35*M35*(1+$O$6)^3),0)</f>
        <v>0</v>
      </c>
      <c r="F35" s="47">
        <f>IF($J$6&gt;4,IF($U$1&lt;&gt;0,IF(O35*(1+$O$6)^4&lt;=$U$1*0.75,O35*N35*(1+$O$6)^4,$U$1*0.75*N35),O35*N35*(1+$O$6)^4),0)</f>
        <v>0</v>
      </c>
      <c r="G35" s="46">
        <f>SUM(B35:F35)</f>
        <v>0</v>
      </c>
      <c r="H35" s="14"/>
      <c r="I35" s="89" t="s">
        <v>15</v>
      </c>
      <c r="J35" s="16">
        <v>0</v>
      </c>
      <c r="K35" s="16">
        <f t="shared" ref="K35:K36" si="20">IF($J$6&gt;1,J35,0)</f>
        <v>0</v>
      </c>
      <c r="L35" s="16">
        <f t="shared" ref="L35:L36" si="21">IF($J$6&gt;2,K35,0)</f>
        <v>0</v>
      </c>
      <c r="M35" s="16">
        <f t="shared" ref="M35:M36" si="22">IF($J$6&gt;3,L35,0)</f>
        <v>0</v>
      </c>
      <c r="N35" s="16">
        <f t="shared" ref="N35:N36" si="23">IF($J$6&gt;4,M35,0)</f>
        <v>0</v>
      </c>
      <c r="O35" s="128">
        <f>IF(U37="A",IF($U$1&lt;&gt;0,IF(T37&gt;($U$1/12*9),($U$1/12*9),T37),T37),0)</f>
        <v>0</v>
      </c>
      <c r="P35" s="194"/>
      <c r="Q35" s="137" t="e">
        <f>((SUM(J33:N33)-SUM(J36:N36))/(CEILING($J$6*9,9)))*9</f>
        <v>#DIV/0!</v>
      </c>
      <c r="R35" s="12"/>
      <c r="S35" s="12"/>
      <c r="T35" s="78"/>
      <c r="V35" s="240"/>
    </row>
    <row r="36" spans="1:24" hidden="1" outlineLevel="1" x14ac:dyDescent="0.25">
      <c r="A36" s="376"/>
      <c r="B36" s="47">
        <f>J36/3*O36</f>
        <v>0</v>
      </c>
      <c r="C36" s="47">
        <f>IF($J$6&gt;1,IF($U$1&lt;&gt;0,IF(O36*(1+$O$6)&lt;=$U$1*0.25,O36*K36/3*(1+$O$6),$U$1*0.25*K36/3),O36*K36/3*(1+$O$6)),0)</f>
        <v>0</v>
      </c>
      <c r="D36" s="47">
        <f>IF($J$6&gt;2,IF($U$1&lt;&gt;0,IF(O36*(1+$O$6)^2&lt;=$U$1*0.25,O36*L36/3*(1+$O$6)^2,$U$1*0.25*L36/3),O36*L36/3*(1+$O$6)^2),0)</f>
        <v>0</v>
      </c>
      <c r="E36" s="47">
        <f>IF($J$6&gt;3,IF($U$1&lt;&gt;0,IF(O36*(1+$O$6)^3&lt;=$U$1*0.25,O36*M36/3*(1+$O$6)^3,$U$1*0.25*M36/3),O36*M36/3*(1+$O$6)^3),0)</f>
        <v>0</v>
      </c>
      <c r="F36" s="47">
        <f>IF($J$6&gt;4,IF($U$1&lt;&gt;0,IF(O36*(1+$O$6)^4&lt;=$U$1*0.25,O36*N36/3*(1+$O$6)^4,$U$1*0.25*N36/3),O36*N36/3*(1+$O$6)^4),0)</f>
        <v>0</v>
      </c>
      <c r="G36" s="46">
        <f>SUM(B36:F36)</f>
        <v>0</v>
      </c>
      <c r="H36" s="14"/>
      <c r="I36" s="89" t="s">
        <v>17</v>
      </c>
      <c r="J36" s="15">
        <v>0</v>
      </c>
      <c r="K36" s="15">
        <f t="shared" si="20"/>
        <v>0</v>
      </c>
      <c r="L36" s="15">
        <f t="shared" si="21"/>
        <v>0</v>
      </c>
      <c r="M36" s="15">
        <f t="shared" si="22"/>
        <v>0</v>
      </c>
      <c r="N36" s="15">
        <f t="shared" si="23"/>
        <v>0</v>
      </c>
      <c r="O36" s="128">
        <f>IF(U37="A",IF($U$1&lt;&gt;0,IF(T37*0.00072*464&gt;($U$1/12*3),($U$1/12*3),T37*0.00072*464),T37*0.00072*464),0)</f>
        <v>0</v>
      </c>
      <c r="P36" s="138"/>
      <c r="Q36" s="138" t="e">
        <f>((SUM(J33:N33)-SUM(J35:N35)*9)/(CEILING($J$6*3,3)))*3</f>
        <v>#DIV/0!</v>
      </c>
      <c r="R36" s="12"/>
      <c r="S36" s="12"/>
      <c r="V36" s="240"/>
    </row>
    <row r="37" spans="1:24" hidden="1" outlineLevel="1" x14ac:dyDescent="0.25">
      <c r="A37" s="18"/>
      <c r="B37" s="47"/>
      <c r="C37" s="47"/>
      <c r="D37" s="48"/>
      <c r="E37" s="48"/>
      <c r="F37" s="48"/>
      <c r="G37" s="49"/>
      <c r="H37" s="19"/>
      <c r="I37" s="149" t="s">
        <v>111</v>
      </c>
      <c r="J37" s="167">
        <f>SUM(B34:B36)*$V37</f>
        <v>0</v>
      </c>
      <c r="K37" s="167">
        <f>SUM(C34:C36)*$V37</f>
        <v>0</v>
      </c>
      <c r="L37" s="167">
        <f>SUM(D34:D36)*$V37</f>
        <v>0</v>
      </c>
      <c r="M37" s="167">
        <f>SUM(E34:E36)*$V37</f>
        <v>0</v>
      </c>
      <c r="N37" s="167">
        <f>SUM(F34:F36)*$V37</f>
        <v>0</v>
      </c>
      <c r="O37" s="21"/>
      <c r="P37" s="138"/>
      <c r="Q37" s="138"/>
      <c r="R37" s="12"/>
      <c r="S37" s="12"/>
      <c r="T37" s="151"/>
      <c r="U37" s="152"/>
      <c r="V37" s="245"/>
      <c r="W37" s="153"/>
    </row>
    <row r="38" spans="1:24" hidden="1" outlineLevel="1" x14ac:dyDescent="0.25">
      <c r="A38" s="22" t="s">
        <v>84</v>
      </c>
      <c r="B38" s="47"/>
      <c r="C38" s="48"/>
      <c r="D38" s="48"/>
      <c r="E38" s="48"/>
      <c r="F38" s="48"/>
      <c r="G38" s="46"/>
      <c r="I38" s="89" t="s">
        <v>132</v>
      </c>
      <c r="J38" s="166">
        <f>IF(U42="F",J39*12,SUM(J40*9,J41))</f>
        <v>0</v>
      </c>
      <c r="K38" s="166">
        <f>IF(U42="F",K39*12,SUM(K40*9,K41))</f>
        <v>0</v>
      </c>
      <c r="L38" s="166">
        <f>IF(U42="F",L39*12,SUM(L40*9,L41))</f>
        <v>0</v>
      </c>
      <c r="M38" s="166">
        <f>IF(U42="F",M39*12,SUM(M40*9,M41))</f>
        <v>0</v>
      </c>
      <c r="N38" s="166">
        <f>IF(U42="F",N39*12,SUM(N40*9,N41))</f>
        <v>0</v>
      </c>
      <c r="O38" s="41" t="s">
        <v>51</v>
      </c>
      <c r="P38" s="134" t="s">
        <v>130</v>
      </c>
      <c r="Q38" s="134" t="s">
        <v>131</v>
      </c>
      <c r="R38" s="11"/>
      <c r="S38" s="12"/>
      <c r="T38" s="78"/>
      <c r="V38" s="240"/>
    </row>
    <row r="39" spans="1:24" hidden="1" outlineLevel="1" x14ac:dyDescent="0.25">
      <c r="A39" s="13" t="e">
        <f>ROUND(P39*100, 2)&amp;"% Avg. Fiscal Effort, "&amp;ROUND(Q39, 2)&amp;" Avg. Calendar Months"</f>
        <v>#DIV/0!</v>
      </c>
      <c r="B39" s="47">
        <f>O39*J39</f>
        <v>0</v>
      </c>
      <c r="C39" s="47">
        <f>IF($J$6&gt;1,IF($U$1&lt;&gt;0,IF(O39*(1+$O$6)&lt;=$U$1,O39*K39*(1+$O$6),$U$1*K39),O39*K39*(1+$O$6)),0)</f>
        <v>0</v>
      </c>
      <c r="D39" s="47">
        <f>IF($J$6&gt;2,IF($U$1&lt;&gt;0,IF(O39*(1+$O$6)^2&lt;=$U$1,O39*L39*(1+$O$6)^2,$U$1*L39),O39*L39*(1+$O$6)^2),0)</f>
        <v>0</v>
      </c>
      <c r="E39" s="47">
        <f>IF($J$6&gt;3,IF($U$1&lt;&gt;0,IF(O39*(1+$O$6)^3&lt;=$U$1,O39*M39*(1+$O$6)^3,$U$1*M39),O39*M39*(1+$O$6)^3),0)</f>
        <v>0</v>
      </c>
      <c r="F39" s="47">
        <f>IF($J$6&gt;4,IF($U$1&lt;&gt;0,IF(O39*(1+$O$6)^4&lt;=$U$1,O39*N39*(1+$O$6)^4,$U$1*N39),O39*N39*(1+$O$6)^4),0)</f>
        <v>0</v>
      </c>
      <c r="G39" s="46">
        <f>SUM(B39:F39)</f>
        <v>0</v>
      </c>
      <c r="H39" s="14"/>
      <c r="I39" s="89" t="s">
        <v>26</v>
      </c>
      <c r="J39" s="16">
        <v>0</v>
      </c>
      <c r="K39" s="16">
        <f>IF($J$6&gt;1,J39,0)</f>
        <v>0</v>
      </c>
      <c r="L39" s="16">
        <f>IF($J$6&gt;2,K39,0)</f>
        <v>0</v>
      </c>
      <c r="M39" s="16">
        <f>IF($J$6&gt;3,L39,0)</f>
        <v>0</v>
      </c>
      <c r="N39" s="16">
        <f>IF($J$6&gt;4,M39,0)</f>
        <v>0</v>
      </c>
      <c r="O39" s="128">
        <f>IF(U42="F",IF($U$1&lt;&gt;0,IF(T42&gt;$U$1,$U$1,T42),T42),0)</f>
        <v>0</v>
      </c>
      <c r="P39" s="135" t="e">
        <f>SUM(J38:N38)/(ROUNDUP($J$6,0)*12)</f>
        <v>#DIV/0!</v>
      </c>
      <c r="Q39" s="136" t="e">
        <f>(SUM(J38:N38)/(CEILING($J$6*12,12)))*12</f>
        <v>#DIV/0!</v>
      </c>
      <c r="T39" s="78"/>
      <c r="V39" s="240"/>
      <c r="X39" s="17"/>
    </row>
    <row r="40" spans="1:24" hidden="1" outlineLevel="1" x14ac:dyDescent="0.25">
      <c r="A40" s="376" t="e">
        <f>ROUND(P39*100,2)&amp;"% Annualized Effort, "&amp;ROUND(Q40,2)&amp;" Avg. Academic Months
"&amp;IF(SUM(J41:N41)&gt;0," and "&amp;Q41 &amp;" Avg. Summer Months", "")</f>
        <v>#DIV/0!</v>
      </c>
      <c r="B40" s="47">
        <f>J40*O40</f>
        <v>0</v>
      </c>
      <c r="C40" s="47">
        <f>IF($J$6&gt;1,IF($U$1&lt;&gt;0,IF(O40*(1+$O$6)&lt;=$U$1*0.75,O40*K40*(1+$O$6),$U$1*0.75*K40),O40*K40*(1+$O$6)),0)</f>
        <v>0</v>
      </c>
      <c r="D40" s="47">
        <f>IF($J$6&gt;2,IF($U$1&lt;&gt;0,IF(O40*(1+$O$6)^2&lt;=$U$1*0.75,O40*L40*(1+$O$6)^2,$U$1*0.75*L40),O40*L40*(1+$O$6)^2),0)</f>
        <v>0</v>
      </c>
      <c r="E40" s="47">
        <f>IF($J$6&gt;3,IF($U$1&lt;&gt;0,IF(O40*(1+$O$6)^3&lt;=$U$1*0.75,O40*M40*(1+$O$6)^3,$U$1*0.75*M40),O40*M40*(1+$O$6)^3),0)</f>
        <v>0</v>
      </c>
      <c r="F40" s="47">
        <f>IF($J$6&gt;4,IF($U$1&lt;&gt;0,IF(O40*(1+$O$6)^4&lt;=$U$1*0.75,O40*N40*(1+$O$6)^4,$U$1*0.75*N40),O40*N40*(1+$O$6)^4),0)</f>
        <v>0</v>
      </c>
      <c r="G40" s="46">
        <f>SUM(B40:F40)</f>
        <v>0</v>
      </c>
      <c r="H40" s="14"/>
      <c r="I40" s="89" t="s">
        <v>15</v>
      </c>
      <c r="J40" s="16">
        <v>0</v>
      </c>
      <c r="K40" s="16">
        <f t="shared" ref="K40:K41" si="24">IF($J$6&gt;1,J40,0)</f>
        <v>0</v>
      </c>
      <c r="L40" s="16">
        <f t="shared" ref="L40:L41" si="25">IF($J$6&gt;2,K40,0)</f>
        <v>0</v>
      </c>
      <c r="M40" s="16">
        <f t="shared" ref="M40:M41" si="26">IF($J$6&gt;3,L40,0)</f>
        <v>0</v>
      </c>
      <c r="N40" s="16">
        <f t="shared" ref="N40:N41" si="27">IF($J$6&gt;4,M40,0)</f>
        <v>0</v>
      </c>
      <c r="O40" s="128">
        <f>IF(U42="A",IF($U$1&lt;&gt;0,IF(T42&gt;($U$1/12*9),($U$1/12*9),T42),T42),0)</f>
        <v>0</v>
      </c>
      <c r="P40" s="194"/>
      <c r="Q40" s="137" t="e">
        <f>((SUM(J38:N38)-SUM(J41:N41))/(CEILING($J$6*9,9)))*9</f>
        <v>#DIV/0!</v>
      </c>
      <c r="R40" s="12"/>
      <c r="S40" s="12"/>
      <c r="T40" s="78"/>
      <c r="V40" s="240"/>
    </row>
    <row r="41" spans="1:24" hidden="1" outlineLevel="1" x14ac:dyDescent="0.25">
      <c r="A41" s="376"/>
      <c r="B41" s="47">
        <f>J41/3*O41</f>
        <v>0</v>
      </c>
      <c r="C41" s="47">
        <f>IF($J$6&gt;1,IF($U$1&lt;&gt;0,IF(O41*(1+$O$6)&lt;=$U$1*0.25,O41*K41/3*(1+$O$6),$U$1*0.25*K41/3),O41*K41/3*(1+$O$6)),0)</f>
        <v>0</v>
      </c>
      <c r="D41" s="47">
        <f>IF($J$6&gt;2,IF($U$1&lt;&gt;0,IF(O41*(1+$O$6)^2&lt;=$U$1*0.25,O41*L41/3*(1+$O$6)^2,$U$1*0.25*L41/3),O41*L41/3*(1+$O$6)^2),0)</f>
        <v>0</v>
      </c>
      <c r="E41" s="47">
        <f>IF($J$6&gt;3,IF($U$1&lt;&gt;0,IF(O41*(1+$O$6)^3&lt;=$U$1*0.25,O41*M41/3*(1+$O$6)^3,$U$1*0.25*M41/3),O41*M41/3*(1+$O$6)^3),0)</f>
        <v>0</v>
      </c>
      <c r="F41" s="47">
        <f>IF($J$6&gt;4,IF($U$1&lt;&gt;0,IF(O41*(1+$O$6)^4&lt;=$U$1*0.25,O41*N41/3*(1+$O$6)^4,$U$1*0.25*N41/3),O41*N41/3*(1+$O$6)^4),0)</f>
        <v>0</v>
      </c>
      <c r="G41" s="46">
        <f>SUM(B41:F41)</f>
        <v>0</v>
      </c>
      <c r="H41" s="14"/>
      <c r="I41" s="89" t="s">
        <v>17</v>
      </c>
      <c r="J41" s="15">
        <v>0</v>
      </c>
      <c r="K41" s="15">
        <f t="shared" si="24"/>
        <v>0</v>
      </c>
      <c r="L41" s="15">
        <f t="shared" si="25"/>
        <v>0</v>
      </c>
      <c r="M41" s="15">
        <f t="shared" si="26"/>
        <v>0</v>
      </c>
      <c r="N41" s="15">
        <f t="shared" si="27"/>
        <v>0</v>
      </c>
      <c r="O41" s="128">
        <f>IF(U42="A",IF($U$1&lt;&gt;0,IF(T42*0.00072*464&gt;($U$1/12*3),($U$1/12*3),T42*0.00072*464),T42*0.00072*464),0)</f>
        <v>0</v>
      </c>
      <c r="P41" s="138"/>
      <c r="Q41" s="138" t="e">
        <f>((SUM(J38:N38)-SUM(J40:N40)*9)/(CEILING($J$6*3,3)))*3</f>
        <v>#DIV/0!</v>
      </c>
      <c r="R41" s="12"/>
      <c r="S41" s="12"/>
      <c r="V41" s="240"/>
    </row>
    <row r="42" spans="1:24" hidden="1" outlineLevel="1" x14ac:dyDescent="0.25">
      <c r="A42" s="18"/>
      <c r="B42" s="47"/>
      <c r="C42" s="47"/>
      <c r="D42" s="48"/>
      <c r="E42" s="48"/>
      <c r="F42" s="48"/>
      <c r="G42" s="49"/>
      <c r="H42" s="19"/>
      <c r="I42" s="149" t="s">
        <v>111</v>
      </c>
      <c r="J42" s="167">
        <f>SUM(B39:B41)*$V42</f>
        <v>0</v>
      </c>
      <c r="K42" s="167">
        <f>SUM(C39:C41)*$V42</f>
        <v>0</v>
      </c>
      <c r="L42" s="167">
        <f>SUM(D39:D41)*$V42</f>
        <v>0</v>
      </c>
      <c r="M42" s="167">
        <f>SUM(E39:E41)*$V42</f>
        <v>0</v>
      </c>
      <c r="N42" s="167">
        <f>SUM(F39:F41)*$V42</f>
        <v>0</v>
      </c>
      <c r="O42" s="21"/>
      <c r="P42" s="138"/>
      <c r="Q42" s="138"/>
      <c r="R42" s="12"/>
      <c r="S42" s="12"/>
      <c r="T42" s="151"/>
      <c r="U42" s="152"/>
      <c r="V42" s="245"/>
      <c r="W42" s="153"/>
    </row>
    <row r="43" spans="1:24" hidden="1" outlineLevel="1" x14ac:dyDescent="0.25">
      <c r="A43" s="22" t="s">
        <v>84</v>
      </c>
      <c r="B43" s="47"/>
      <c r="C43" s="48"/>
      <c r="D43" s="48"/>
      <c r="E43" s="48"/>
      <c r="F43" s="48"/>
      <c r="G43" s="46"/>
      <c r="I43" s="89" t="s">
        <v>132</v>
      </c>
      <c r="J43" s="166">
        <f>IF(U47="F",J44*12,SUM(J45*9,J46))</f>
        <v>0</v>
      </c>
      <c r="K43" s="166">
        <f>IF(U47="F",K44*12,SUM(K45*9,K46))</f>
        <v>0</v>
      </c>
      <c r="L43" s="166">
        <f>IF(U47="F",L44*12,SUM(L45*9,L46))</f>
        <v>0</v>
      </c>
      <c r="M43" s="166">
        <f>IF(U47="F",M44*12,SUM(M45*9,M46))</f>
        <v>0</v>
      </c>
      <c r="N43" s="166">
        <f>IF(U47="F",N44*12,SUM(N45*9,N46))</f>
        <v>0</v>
      </c>
      <c r="O43" s="41" t="s">
        <v>51</v>
      </c>
      <c r="P43" s="134" t="s">
        <v>130</v>
      </c>
      <c r="Q43" s="134" t="s">
        <v>131</v>
      </c>
      <c r="R43" s="11"/>
      <c r="S43" s="12"/>
      <c r="T43" s="78"/>
      <c r="V43" s="240"/>
    </row>
    <row r="44" spans="1:24" hidden="1" outlineLevel="1" x14ac:dyDescent="0.25">
      <c r="A44" s="13" t="e">
        <f>ROUND(P44*100, 2)&amp;"% Avg. Fiscal Effort, "&amp;ROUND(Q44, 2)&amp;" Avg. Calendar Months"</f>
        <v>#DIV/0!</v>
      </c>
      <c r="B44" s="47">
        <f>O44*J44</f>
        <v>0</v>
      </c>
      <c r="C44" s="47">
        <f>IF($J$6&gt;1,IF($U$1&lt;&gt;0,IF(O44*(1+$O$6)&lt;=$U$1,O44*K44*(1+$O$6),$U$1*K44),O44*K44*(1+$O$6)),0)</f>
        <v>0</v>
      </c>
      <c r="D44" s="47">
        <f>IF($J$6&gt;2,IF($U$1&lt;&gt;0,IF(O44*(1+$O$6)^2&lt;=$U$1,O44*L44*(1+$O$6)^2,$U$1*L44),O44*L44*(1+$O$6)^2),0)</f>
        <v>0</v>
      </c>
      <c r="E44" s="47">
        <f>IF($J$6&gt;3,IF($U$1&lt;&gt;0,IF(O44*(1+$O$6)^3&lt;=$U$1,O44*M44*(1+$O$6)^3,$U$1*M44),O44*M44*(1+$O$6)^3),0)</f>
        <v>0</v>
      </c>
      <c r="F44" s="47">
        <f>IF($J$6&gt;4,IF($U$1&lt;&gt;0,IF(O44*(1+$O$6)^4&lt;=$U$1,O44*N44*(1+$O$6)^4,$U$1*N44),O44*N44*(1+$O$6)^4),0)</f>
        <v>0</v>
      </c>
      <c r="G44" s="46">
        <f>SUM(B44:F44)</f>
        <v>0</v>
      </c>
      <c r="H44" s="14"/>
      <c r="I44" s="89" t="s">
        <v>26</v>
      </c>
      <c r="J44" s="16">
        <v>0</v>
      </c>
      <c r="K44" s="16">
        <f>IF($J$6&gt;1,J44,0)</f>
        <v>0</v>
      </c>
      <c r="L44" s="16">
        <f>IF($J$6&gt;2,K44,0)</f>
        <v>0</v>
      </c>
      <c r="M44" s="16">
        <f>IF($J$6&gt;3,L44,0)</f>
        <v>0</v>
      </c>
      <c r="N44" s="16">
        <f>IF($J$6&gt;4,M44,0)</f>
        <v>0</v>
      </c>
      <c r="O44" s="128">
        <f>IF(U47="F",IF($U$1&lt;&gt;0,IF(T47&gt;$U$1,$U$1,T47),T47),0)</f>
        <v>0</v>
      </c>
      <c r="P44" s="135" t="e">
        <f>SUM(J43:N43)/(ROUNDUP($J$6,0)*12)</f>
        <v>#DIV/0!</v>
      </c>
      <c r="Q44" s="136" t="e">
        <f>(SUM(J43:N43)/(CEILING($J$6*12,12)))*12</f>
        <v>#DIV/0!</v>
      </c>
      <c r="T44" s="78"/>
      <c r="V44" s="240"/>
      <c r="X44" s="17"/>
    </row>
    <row r="45" spans="1:24" ht="15.75" hidden="1" customHeight="1" outlineLevel="1" x14ac:dyDescent="0.25">
      <c r="A45" s="376" t="e">
        <f>ROUND(P44*100,2)&amp;"% Annualized Effort, "&amp;ROUND(Q45,2)&amp;" Avg. Academic Months
"&amp;IF(SUM(J46:N46)&gt;0," and "&amp;Q46 &amp;" Avg. Summer Months", "")</f>
        <v>#DIV/0!</v>
      </c>
      <c r="B45" s="47">
        <f>J45*O45</f>
        <v>0</v>
      </c>
      <c r="C45" s="47">
        <f>IF($J$6&gt;1,IF($U$1&lt;&gt;0,IF(O45*(1+$O$6)&lt;=$U$1*0.75,O45*K45*(1+$O$6),$U$1*0.75*K45),O45*K45*(1+$O$6)),0)</f>
        <v>0</v>
      </c>
      <c r="D45" s="47">
        <f>IF($J$6&gt;2,IF($U$1&lt;&gt;0,IF(O45*(1+$O$6)^2&lt;=$U$1*0.75,O45*L45*(1+$O$6)^2,$U$1*0.75*L45),O45*L45*(1+$O$6)^2),0)</f>
        <v>0</v>
      </c>
      <c r="E45" s="47">
        <f>IF($J$6&gt;3,IF($U$1&lt;&gt;0,IF(O45*(1+$O$6)^3&lt;=$U$1*0.75,O45*M45*(1+$O$6)^3,$U$1*0.75*M45),O45*M45*(1+$O$6)^3),0)</f>
        <v>0</v>
      </c>
      <c r="F45" s="47">
        <f>IF($J$6&gt;4,IF($U$1&lt;&gt;0,IF(O45*(1+$O$6)^4&lt;=$U$1*0.75,O45*N45*(1+$O$6)^4,$U$1*0.75*N45),O45*N45*(1+$O$6)^4),0)</f>
        <v>0</v>
      </c>
      <c r="G45" s="46">
        <f>SUM(B45:F45)</f>
        <v>0</v>
      </c>
      <c r="H45" s="14"/>
      <c r="I45" s="89" t="s">
        <v>15</v>
      </c>
      <c r="J45" s="16">
        <v>0</v>
      </c>
      <c r="K45" s="16">
        <f t="shared" ref="K45:K46" si="28">IF($J$6&gt;1,J45,0)</f>
        <v>0</v>
      </c>
      <c r="L45" s="16">
        <f t="shared" ref="L45:L46" si="29">IF($J$6&gt;2,K45,0)</f>
        <v>0</v>
      </c>
      <c r="M45" s="16">
        <f t="shared" ref="M45:M46" si="30">IF($J$6&gt;3,L45,0)</f>
        <v>0</v>
      </c>
      <c r="N45" s="16">
        <f t="shared" ref="N45:N46" si="31">IF($J$6&gt;4,M45,0)</f>
        <v>0</v>
      </c>
      <c r="O45" s="128">
        <f>IF(U47="A",IF($U$1&lt;&gt;0,IF(T47&gt;($U$1/12*9),($U$1/12*9),T47),T47),0)</f>
        <v>0</v>
      </c>
      <c r="P45" s="194"/>
      <c r="Q45" s="137" t="e">
        <f>((SUM(J43:N43)-SUM(J46:N46))/(CEILING($J$6*9,9)))*9</f>
        <v>#DIV/0!</v>
      </c>
      <c r="R45" s="12"/>
      <c r="S45" s="12"/>
      <c r="T45" s="78"/>
      <c r="V45" s="240"/>
    </row>
    <row r="46" spans="1:24" hidden="1" outlineLevel="1" x14ac:dyDescent="0.25">
      <c r="A46" s="376"/>
      <c r="B46" s="47">
        <f>J46/3*O46</f>
        <v>0</v>
      </c>
      <c r="C46" s="47">
        <f>IF($J$6&gt;1,IF($U$1&lt;&gt;0,IF(O46*(1+$O$6)&lt;=$U$1*0.25,O46*K46/3*(1+$O$6),$U$1*0.25*K46/3),O46*K46/3*(1+$O$6)),0)</f>
        <v>0</v>
      </c>
      <c r="D46" s="47">
        <f>IF($J$6&gt;2,IF($U$1&lt;&gt;0,IF(O46*(1+$O$6)^2&lt;=$U$1*0.25,O46*L46/3*(1+$O$6)^2,$U$1*0.25*L46/3),O46*L46/3*(1+$O$6)^2),0)</f>
        <v>0</v>
      </c>
      <c r="E46" s="47">
        <f>IF($J$6&gt;3,IF($U$1&lt;&gt;0,IF(O46*(1+$O$6)^3&lt;=$U$1*0.25,O46*M46/3*(1+$O$6)^3,$U$1*0.25*M46/3),O46*M46/3*(1+$O$6)^3),0)</f>
        <v>0</v>
      </c>
      <c r="F46" s="47">
        <f>IF($J$6&gt;4,IF($U$1&lt;&gt;0,IF(O46*(1+$O$6)^4&lt;=$U$1*0.25,O46*N46/3*(1+$O$6)^4,$U$1*0.25*N46/3),O46*N46/3*(1+$O$6)^4),0)</f>
        <v>0</v>
      </c>
      <c r="G46" s="46">
        <f>SUM(B46:F46)</f>
        <v>0</v>
      </c>
      <c r="H46" s="14"/>
      <c r="I46" s="89" t="s">
        <v>17</v>
      </c>
      <c r="J46" s="15">
        <v>0</v>
      </c>
      <c r="K46" s="15">
        <f t="shared" si="28"/>
        <v>0</v>
      </c>
      <c r="L46" s="15">
        <f t="shared" si="29"/>
        <v>0</v>
      </c>
      <c r="M46" s="15">
        <f t="shared" si="30"/>
        <v>0</v>
      </c>
      <c r="N46" s="15">
        <f t="shared" si="31"/>
        <v>0</v>
      </c>
      <c r="O46" s="128">
        <f>IF(U47="A",IF($U$1&lt;&gt;0,IF(T47*0.00072*464&gt;($U$1/12*3),($U$1/12*3),T47*0.00072*464),T47*0.00072*464),0)</f>
        <v>0</v>
      </c>
      <c r="P46" s="138"/>
      <c r="Q46" s="138" t="e">
        <f>((SUM(J43:N43)-SUM(J45:N45)*9)/(CEILING($J$6*3,3)))*3</f>
        <v>#DIV/0!</v>
      </c>
      <c r="R46" s="12"/>
      <c r="S46" s="12"/>
      <c r="V46" s="240"/>
    </row>
    <row r="47" spans="1:24" hidden="1" outlineLevel="1" x14ac:dyDescent="0.25">
      <c r="A47" s="18"/>
      <c r="B47" s="47"/>
      <c r="C47" s="47"/>
      <c r="D47" s="48"/>
      <c r="E47" s="48"/>
      <c r="F47" s="48"/>
      <c r="G47" s="49"/>
      <c r="H47" s="19"/>
      <c r="I47" s="149" t="s">
        <v>111</v>
      </c>
      <c r="J47" s="167">
        <f>SUM(B44:B46)*$V47</f>
        <v>0</v>
      </c>
      <c r="K47" s="167">
        <f>SUM(C44:C46)*$V47</f>
        <v>0</v>
      </c>
      <c r="L47" s="167">
        <f>SUM(D44:D46)*$V47</f>
        <v>0</v>
      </c>
      <c r="M47" s="167">
        <f>SUM(E44:E46)*$V47</f>
        <v>0</v>
      </c>
      <c r="N47" s="167">
        <f>SUM(F44:F46)*$V47</f>
        <v>0</v>
      </c>
      <c r="O47" s="21"/>
      <c r="P47" s="138"/>
      <c r="Q47" s="138"/>
      <c r="R47" s="12"/>
      <c r="S47" s="12"/>
      <c r="T47" s="151"/>
      <c r="U47" s="152"/>
      <c r="V47" s="245"/>
      <c r="W47" s="153"/>
    </row>
    <row r="48" spans="1:24" hidden="1" outlineLevel="1" x14ac:dyDescent="0.25">
      <c r="A48" s="22" t="s">
        <v>184</v>
      </c>
      <c r="B48" s="47"/>
      <c r="C48" s="48"/>
      <c r="D48" s="48"/>
      <c r="E48" s="48"/>
      <c r="F48" s="48"/>
      <c r="G48" s="46"/>
      <c r="I48" s="89" t="s">
        <v>132</v>
      </c>
      <c r="J48" s="166">
        <f>IF(U52="F",J49*12,SUM(J50*9,J51))</f>
        <v>0</v>
      </c>
      <c r="K48" s="166">
        <f>IF(U52="F",K49*12,SUM(K50*9,K51))</f>
        <v>0</v>
      </c>
      <c r="L48" s="166">
        <f>IF(U52="F",L49*12,SUM(L50*9,L51))</f>
        <v>0</v>
      </c>
      <c r="M48" s="166">
        <f>IF(U52="F",M49*12,SUM(M50*9,M51))</f>
        <v>0</v>
      </c>
      <c r="N48" s="166">
        <f>IF(U52="F",N49*12,SUM(N50*9,N51))</f>
        <v>0</v>
      </c>
      <c r="O48" s="41" t="s">
        <v>51</v>
      </c>
      <c r="P48" s="134" t="s">
        <v>130</v>
      </c>
      <c r="Q48" s="134" t="s">
        <v>131</v>
      </c>
      <c r="R48" s="11"/>
      <c r="S48" s="12"/>
      <c r="T48" s="78"/>
      <c r="V48" s="240"/>
    </row>
    <row r="49" spans="1:24" hidden="1" outlineLevel="1" x14ac:dyDescent="0.25">
      <c r="A49" s="13" t="e">
        <f>ROUND(P49*100, 2)&amp;"% Avg. Fiscal Effort, "&amp;ROUND(Q49, 2)&amp;" Avg. Calendar Months"</f>
        <v>#DIV/0!</v>
      </c>
      <c r="B49" s="47">
        <f>O49*J49</f>
        <v>0</v>
      </c>
      <c r="C49" s="47">
        <f>IF($J$6&gt;1,IF($U$1&lt;&gt;0,IF(O49*(1+$O$6)&lt;=$U$1,O49*K49*(1+$O$6),$U$1*K49),O49*K49*(1+$O$6)),0)</f>
        <v>0</v>
      </c>
      <c r="D49" s="47">
        <f>IF($J$6&gt;2,IF($U$1&lt;&gt;0,IF(O49*(1+$O$6)^2&lt;=$U$1,O49*L49*(1+$O$6)^2,$U$1*L49),O49*L49*(1+$O$6)^2),0)</f>
        <v>0</v>
      </c>
      <c r="E49" s="47">
        <f>IF($J$6&gt;3,IF($U$1&lt;&gt;0,IF(O49*(1+$O$6)^3&lt;=$U$1,O49*M49*(1+$O$6)^3,$U$1*M49),O49*M49*(1+$O$6)^3),0)</f>
        <v>0</v>
      </c>
      <c r="F49" s="47">
        <f>IF($J$6&gt;4,IF($U$1&lt;&gt;0,IF(O49*(1+$O$6)^4&lt;=$U$1,O49*N49*(1+$O$6)^4,$U$1*N49),O49*N49*(1+$O$6)^4),0)</f>
        <v>0</v>
      </c>
      <c r="G49" s="46">
        <f>SUM(B49:F49)</f>
        <v>0</v>
      </c>
      <c r="H49" s="14"/>
      <c r="I49" s="89" t="s">
        <v>26</v>
      </c>
      <c r="J49" s="16">
        <v>0</v>
      </c>
      <c r="K49" s="16">
        <f>IF($J$6&gt;1,J49,0)</f>
        <v>0</v>
      </c>
      <c r="L49" s="16">
        <f>IF($J$6&gt;2,K49,0)</f>
        <v>0</v>
      </c>
      <c r="M49" s="16">
        <f>IF($J$6&gt;3,L49,0)</f>
        <v>0</v>
      </c>
      <c r="N49" s="16">
        <f>IF($J$6&gt;4,M49,0)</f>
        <v>0</v>
      </c>
      <c r="O49" s="128">
        <f>IF(U52="F",IF($U$1&lt;&gt;0,IF(T52&gt;$U$1,$U$1,T52),T52),0)</f>
        <v>0</v>
      </c>
      <c r="P49" s="135" t="e">
        <f>SUM(J48:N48)/(ROUNDUP($J$6,0)*12)</f>
        <v>#DIV/0!</v>
      </c>
      <c r="Q49" s="136" t="e">
        <f>(SUM(J48:N48)/(CEILING($J$6*12,12)))*12</f>
        <v>#DIV/0!</v>
      </c>
      <c r="T49" s="78"/>
      <c r="V49" s="240"/>
      <c r="X49" s="17"/>
    </row>
    <row r="50" spans="1:24" hidden="1" outlineLevel="1" x14ac:dyDescent="0.25">
      <c r="A50" s="376" t="e">
        <f>ROUND(P49*100,2)&amp;"% Annualized Effort, "&amp;ROUND(Q50,2)&amp;" Avg. Academic Months
"&amp;IF(SUM(J51:N51)&gt;0," and "&amp;Q51 &amp;" Avg. Summer Months", "")</f>
        <v>#DIV/0!</v>
      </c>
      <c r="B50" s="47">
        <f>J50*O50</f>
        <v>0</v>
      </c>
      <c r="C50" s="47">
        <f>IF($J$6&gt;1,IF($U$1&lt;&gt;0,IF(O50*(1+$O$6)&lt;=$U$1*0.75,O50*K50*(1+$O$6),$U$1*0.75*K50),O50*K50*(1+$O$6)),0)</f>
        <v>0</v>
      </c>
      <c r="D50" s="47">
        <f>IF($J$6&gt;2,IF($U$1&lt;&gt;0,IF(O50*(1+$O$6)^2&lt;=$U$1*0.75,O50*L50*(1+$O$6)^2,$U$1*0.75*L50),O50*L50*(1+$O$6)^2),0)</f>
        <v>0</v>
      </c>
      <c r="E50" s="47">
        <f>IF($J$6&gt;3,IF($U$1&lt;&gt;0,IF(O50*(1+$O$6)^3&lt;=$U$1*0.75,O50*M50*(1+$O$6)^3,$U$1*0.75*M50),O50*M50*(1+$O$6)^3),0)</f>
        <v>0</v>
      </c>
      <c r="F50" s="47">
        <f>IF($J$6&gt;4,IF($U$1&lt;&gt;0,IF(O50*(1+$O$6)^4&lt;=$U$1*0.75,O50*N50*(1+$O$6)^4,$U$1*0.75*N50),O50*N50*(1+$O$6)^4),0)</f>
        <v>0</v>
      </c>
      <c r="G50" s="46">
        <f>SUM(B50:F50)</f>
        <v>0</v>
      </c>
      <c r="H50" s="14"/>
      <c r="I50" s="89" t="s">
        <v>15</v>
      </c>
      <c r="J50" s="16">
        <v>0</v>
      </c>
      <c r="K50" s="16">
        <f t="shared" ref="K50:K51" si="32">IF($J$6&gt;1,J50,0)</f>
        <v>0</v>
      </c>
      <c r="L50" s="16">
        <f t="shared" ref="L50:L51" si="33">IF($J$6&gt;2,K50,0)</f>
        <v>0</v>
      </c>
      <c r="M50" s="16">
        <f t="shared" ref="M50:M51" si="34">IF($J$6&gt;3,L50,0)</f>
        <v>0</v>
      </c>
      <c r="N50" s="16">
        <f t="shared" ref="N50:N51" si="35">IF($J$6&gt;4,M50,0)</f>
        <v>0</v>
      </c>
      <c r="O50" s="128">
        <f>IF(U52="A",IF($U$1&lt;&gt;0,IF(T52&gt;($U$1/12*9),($U$1/12*9),T52),T52),0)</f>
        <v>0</v>
      </c>
      <c r="P50" s="194"/>
      <c r="Q50" s="137" t="e">
        <f>((SUM(J48:N48)-SUM(J51:N51))/(CEILING($J$6*9,9)))*9</f>
        <v>#DIV/0!</v>
      </c>
      <c r="R50" s="12"/>
      <c r="S50" s="12"/>
      <c r="T50" s="78"/>
      <c r="V50" s="240"/>
    </row>
    <row r="51" spans="1:24" hidden="1" outlineLevel="1" x14ac:dyDescent="0.25">
      <c r="A51" s="376"/>
      <c r="B51" s="47">
        <f>J51/3*O51</f>
        <v>0</v>
      </c>
      <c r="C51" s="47">
        <f>IF($J$6&gt;1,IF($U$1&lt;&gt;0,IF(O51*(1+$O$6)&lt;=$U$1*0.25,O51*K51/3*(1+$O$6),$U$1*0.25*K51/3),O51*K51/3*(1+$O$6)),0)</f>
        <v>0</v>
      </c>
      <c r="D51" s="47">
        <f>IF($J$6&gt;2,IF($U$1&lt;&gt;0,IF(O51*(1+$O$6)^2&lt;=$U$1*0.25,O51*L51/3*(1+$O$6)^2,$U$1*0.25*L51/3),O51*L51/3*(1+$O$6)^2),0)</f>
        <v>0</v>
      </c>
      <c r="E51" s="47">
        <f>IF($J$6&gt;3,IF($U$1&lt;&gt;0,IF(O51*(1+$O$6)^3&lt;=$U$1*0.25,O51*M51/3*(1+$O$6)^3,$U$1*0.25*M51/3),O51*M51/3*(1+$O$6)^3),0)</f>
        <v>0</v>
      </c>
      <c r="F51" s="47">
        <f>IF($J$6&gt;4,IF($U$1&lt;&gt;0,IF(O51*(1+$O$6)^4&lt;=$U$1*0.25,O51*N51/3*(1+$O$6)^4,$U$1*0.25*N51/3),O51*N51/3*(1+$O$6)^4),0)</f>
        <v>0</v>
      </c>
      <c r="G51" s="46">
        <f>SUM(B51:F51)</f>
        <v>0</v>
      </c>
      <c r="H51" s="14"/>
      <c r="I51" s="89" t="s">
        <v>17</v>
      </c>
      <c r="J51" s="15">
        <v>0</v>
      </c>
      <c r="K51" s="15">
        <f t="shared" si="32"/>
        <v>0</v>
      </c>
      <c r="L51" s="15">
        <f t="shared" si="33"/>
        <v>0</v>
      </c>
      <c r="M51" s="15">
        <f t="shared" si="34"/>
        <v>0</v>
      </c>
      <c r="N51" s="15">
        <f t="shared" si="35"/>
        <v>0</v>
      </c>
      <c r="O51" s="128">
        <f>IF(U52="A",IF($U$1&lt;&gt;0,IF(T52*0.00072*464&gt;($U$1/12*3),($U$1/12*3),T52*0.00072*464),T52*0.00072*464),0)</f>
        <v>0</v>
      </c>
      <c r="P51" s="138"/>
      <c r="Q51" s="138" t="e">
        <f>((SUM(J48:N48)-SUM(J50:N50)*9)/(CEILING($J$6*3,3)))*3</f>
        <v>#DIV/0!</v>
      </c>
      <c r="R51" s="12"/>
      <c r="S51" s="12"/>
      <c r="V51" s="240"/>
    </row>
    <row r="52" spans="1:24" hidden="1" outlineLevel="1" x14ac:dyDescent="0.25">
      <c r="A52" s="18"/>
      <c r="B52" s="47"/>
      <c r="C52" s="47"/>
      <c r="D52" s="48"/>
      <c r="E52" s="48"/>
      <c r="F52" s="48"/>
      <c r="G52" s="49"/>
      <c r="H52" s="19"/>
      <c r="I52" s="149" t="s">
        <v>111</v>
      </c>
      <c r="J52" s="167">
        <f>SUM(B49:B51)*$V52</f>
        <v>0</v>
      </c>
      <c r="K52" s="167">
        <f>SUM(C49:C51)*$V52</f>
        <v>0</v>
      </c>
      <c r="L52" s="167">
        <f>SUM(D49:D51)*$V52</f>
        <v>0</v>
      </c>
      <c r="M52" s="167">
        <f>SUM(E49:E51)*$V52</f>
        <v>0</v>
      </c>
      <c r="N52" s="167">
        <f>SUM(F49:F51)*$V52</f>
        <v>0</v>
      </c>
      <c r="O52" s="21"/>
      <c r="P52" s="138"/>
      <c r="Q52" s="138"/>
      <c r="R52" s="12"/>
      <c r="S52" s="12"/>
      <c r="T52" s="151"/>
      <c r="U52" s="152"/>
      <c r="V52" s="245"/>
      <c r="W52" s="153"/>
    </row>
    <row r="53" spans="1:24" outlineLevel="1" x14ac:dyDescent="0.25">
      <c r="A53" s="292" t="s">
        <v>205</v>
      </c>
      <c r="B53" s="47"/>
      <c r="C53" s="48"/>
      <c r="D53" s="48"/>
      <c r="E53" s="48"/>
      <c r="F53" s="48"/>
      <c r="G53" s="46"/>
      <c r="I53" s="89" t="s">
        <v>132</v>
      </c>
      <c r="J53" s="166">
        <f>IF(U57="F",J54*12,SUM(J55*9,J56))</f>
        <v>0</v>
      </c>
      <c r="K53" s="166">
        <f>IF(U57="F",K54*12,SUM(K55*9,K56))</f>
        <v>0</v>
      </c>
      <c r="L53" s="166">
        <f>IF(U57="F",L54*12,SUM(L55*9,L56))</f>
        <v>0</v>
      </c>
      <c r="M53" s="166">
        <f>IF(U57="F",M54*12,SUM(M55*9,M56))</f>
        <v>0</v>
      </c>
      <c r="N53" s="166">
        <f>IF(U57="F",N54*12,SUM(N55*9,N56))</f>
        <v>0</v>
      </c>
      <c r="O53" s="41" t="s">
        <v>51</v>
      </c>
      <c r="P53" s="134" t="s">
        <v>130</v>
      </c>
      <c r="Q53" s="134" t="s">
        <v>131</v>
      </c>
      <c r="R53" s="11"/>
      <c r="S53" s="12"/>
      <c r="T53" s="78"/>
      <c r="V53" s="240"/>
    </row>
    <row r="54" spans="1:24" outlineLevel="1" x14ac:dyDescent="0.25">
      <c r="A54" s="13" t="e">
        <f>ROUND(P54*100, 2)&amp;"% Avg. Fiscal Effort, "&amp;ROUND(Q54, 2)&amp;" Avg. Calendar Months"</f>
        <v>#DIV/0!</v>
      </c>
      <c r="B54" s="47">
        <f>(O54*J54)-Budget!B54</f>
        <v>0</v>
      </c>
      <c r="C54" s="47">
        <f>(IF($J$6&gt;1,IF($U$1&lt;&gt;0,IF(O54*(1+$O$6)&lt;=$U$1,O54*K54*(1+$O$6),$U$1*K54),O54*K54*(1+$O$6)),0))-Budget!C54</f>
        <v>0</v>
      </c>
      <c r="D54" s="47">
        <f>(IF($J$6&gt;2,IF($U$1&lt;&gt;0,IF(O54*(1+$O$6)^2&lt;=$U$1,O54*L54*(1+$O$6)^2,$U$1*L54),O54*L54*(1+$O$6)^2),0))-Budget!D54</f>
        <v>0</v>
      </c>
      <c r="E54" s="47">
        <f>(IF($J$6&gt;3,IF($U$1&lt;&gt;0,IF(O54*(1+$O$6)^3&lt;=$U$1,O54*M54*(1+$O$6)^3,$U$1*M54),O54*M54*(1+$O$6)^3),0))-Budget!E54</f>
        <v>0</v>
      </c>
      <c r="F54" s="47">
        <f>(IF($J$6&gt;4,IF($U$1&lt;&gt;0,IF(O54*(1+$O$6)^4&lt;=$U$1,O54*N54*(1+$O$6)^4,$U$1*N54),O54*N54*(1+$O$6)^4),0))-Budget!F54</f>
        <v>0</v>
      </c>
      <c r="G54" s="46">
        <f>SUM(B54:F54)</f>
        <v>0</v>
      </c>
      <c r="H54" s="14"/>
      <c r="I54" s="89" t="s">
        <v>26</v>
      </c>
      <c r="J54" s="265">
        <f>Budget!J54</f>
        <v>0</v>
      </c>
      <c r="K54" s="265">
        <f>Budget!K54</f>
        <v>0</v>
      </c>
      <c r="L54" s="265">
        <f>Budget!L54</f>
        <v>0</v>
      </c>
      <c r="M54" s="265">
        <f>Budget!M54</f>
        <v>0</v>
      </c>
      <c r="N54" s="265">
        <f>Budget!N54</f>
        <v>0</v>
      </c>
      <c r="O54" s="128">
        <f>IF(U57="F",IF($U$1&lt;&gt;0,IF(T57&gt;$U$1,$U$1,T57),T57),0)</f>
        <v>0</v>
      </c>
      <c r="P54" s="135" t="e">
        <f>SUM(J53:N53)/(ROUNDUP($J$6,0)*12)</f>
        <v>#DIV/0!</v>
      </c>
      <c r="Q54" s="136" t="e">
        <f>(SUM(J53:N53)/(CEILING($J$6*12,12)))*12</f>
        <v>#DIV/0!</v>
      </c>
      <c r="T54" s="78"/>
      <c r="V54" s="240"/>
      <c r="X54" s="17"/>
    </row>
    <row r="55" spans="1:24" outlineLevel="1" x14ac:dyDescent="0.25">
      <c r="A55" s="376" t="e">
        <f>ROUND(P54*100,2)&amp;"% Annualized Effort, "&amp;ROUND(Q55,2)&amp;" Avg. Academic Months
"&amp;IF(SUM(J56:N56)&gt;0," and "&amp;Q56 &amp;" Avg. Summer Months", "")</f>
        <v>#DIV/0!</v>
      </c>
      <c r="B55" s="47">
        <f>(J55*O55)-Budget!B55</f>
        <v>0</v>
      </c>
      <c r="C55" s="47">
        <f>(IF($J$6&gt;1,IF($U$1&lt;&gt;0,IF(O55*(1+$O$6)&lt;=$U$1*0.75,O55*K55*(1+$O$6),$U$1*0.75*K55),O55*K55*(1+$O$6)),0))-Budget!C55</f>
        <v>0</v>
      </c>
      <c r="D55" s="47">
        <f>(IF($J$6&gt;2,IF($U$1&lt;&gt;0,IF(O55*(1+$O$6)^2&lt;=$U$1*0.75,O55*L55*(1+$O$6)^2,$U$1*0.75*L55),O55*L55*(1+$O$6)^2),0))-Budget!D55</f>
        <v>0</v>
      </c>
      <c r="E55" s="47">
        <f>(IF($J$6&gt;3,IF($U$1&lt;&gt;0,IF(O55*(1+$O$6)^3&lt;=$U$1*0.75,O55*M55*(1+$O$6)^3,$U$1*0.75*M55),O55*M55*(1+$O$6)^3),0))-Budget!E55</f>
        <v>0</v>
      </c>
      <c r="F55" s="47">
        <f>(IF($J$6&gt;4,IF($U$1&lt;&gt;0,IF(O55*(1+$O$6)^4&lt;=$U$1*0.75,O55*N55*(1+$O$6)^4,$U$1*0.75*N55),O55*N55*(1+$O$6)^4),0))-Budget!F55</f>
        <v>0</v>
      </c>
      <c r="G55" s="46">
        <f>SUM(B55:F55)</f>
        <v>0</v>
      </c>
      <c r="H55" s="14"/>
      <c r="I55" s="89" t="s">
        <v>15</v>
      </c>
      <c r="J55" s="265">
        <f>Budget!J55</f>
        <v>0</v>
      </c>
      <c r="K55" s="265">
        <f>Budget!K55</f>
        <v>0</v>
      </c>
      <c r="L55" s="265">
        <f>Budget!L55</f>
        <v>0</v>
      </c>
      <c r="M55" s="265">
        <f>Budget!M55</f>
        <v>0</v>
      </c>
      <c r="N55" s="265">
        <f>Budget!N55</f>
        <v>0</v>
      </c>
      <c r="O55" s="128">
        <f>IF(U57="A",IF($U$1&lt;&gt;0,IF(T57&gt;($U$1/12*9),($U$1/12*9),T57),T57),0)</f>
        <v>0</v>
      </c>
      <c r="P55" s="194"/>
      <c r="Q55" s="137" t="e">
        <f>((SUM(J53:N53)-SUM(J56:N56))/(CEILING($J$6*9,9)))*9</f>
        <v>#DIV/0!</v>
      </c>
      <c r="R55" s="12"/>
      <c r="S55" s="12"/>
      <c r="T55" s="78"/>
      <c r="V55" s="240"/>
    </row>
    <row r="56" spans="1:24" outlineLevel="1" x14ac:dyDescent="0.25">
      <c r="A56" s="376"/>
      <c r="B56" s="47">
        <f>(J56/3*O56)-Budget!B56</f>
        <v>0</v>
      </c>
      <c r="C56" s="47">
        <f>(IF($J$6&gt;1,IF($U$1&lt;&gt;0,IF(O56*(1+$O$6)&lt;=$U$1*0.25,O56*K56/3*(1+$O$6),$U$1*0.25*K56/3),O56*K56/3*(1+$O$6)),0))-Budget!C56</f>
        <v>0</v>
      </c>
      <c r="D56" s="47">
        <f>(IF($J$6&gt;2,IF($U$1&lt;&gt;0,IF(O56*(1+$O$6)^2&lt;=$U$1*0.25,O56*L56/3*(1+$O$6)^2,$U$1*0.25*L56/3),O56*L56/3*(1+$O$6)^2),0))-Budget!D56</f>
        <v>0</v>
      </c>
      <c r="E56" s="47">
        <f>(IF($J$6&gt;3,IF($U$1&lt;&gt;0,IF(O56*(1+$O$6)^3&lt;=$U$1*0.25,O56*M56/3*(1+$O$6)^3,$U$1*0.25*M56/3),O56*M56/3*(1+$O$6)^3),0))-Budget!E56</f>
        <v>0</v>
      </c>
      <c r="F56" s="47">
        <f>(IF($J$6&gt;4,IF($U$1&lt;&gt;0,IF(O56*(1+$O$6)^4&lt;=$U$1*0.25,O56*N56/3*(1+$O$6)^4,$U$1*0.25*N56/3),O56*N56/3*(1+$O$6)^4),0))-Budget!F56</f>
        <v>0</v>
      </c>
      <c r="G56" s="46">
        <f>SUM(B56:F56)</f>
        <v>0</v>
      </c>
      <c r="H56" s="14"/>
      <c r="I56" s="89" t="s">
        <v>17</v>
      </c>
      <c r="J56" s="266">
        <f>Budget!J56</f>
        <v>0</v>
      </c>
      <c r="K56" s="266">
        <f>Budget!K56</f>
        <v>0</v>
      </c>
      <c r="L56" s="266">
        <f>Budget!L56</f>
        <v>0</v>
      </c>
      <c r="M56" s="266">
        <f>Budget!M56</f>
        <v>0</v>
      </c>
      <c r="N56" s="266">
        <f>Budget!N56</f>
        <v>0</v>
      </c>
      <c r="O56" s="128">
        <f>O55*0.000731*456</f>
        <v>0</v>
      </c>
      <c r="P56" s="138"/>
      <c r="Q56" s="138" t="e">
        <f>((SUM(J53:N53)-SUM(J55:N55)*9)/(CEILING($J$6*3,3)))*3</f>
        <v>#DIV/0!</v>
      </c>
      <c r="R56" s="12"/>
      <c r="S56" s="12"/>
      <c r="V56" s="240"/>
    </row>
    <row r="57" spans="1:24" outlineLevel="1" x14ac:dyDescent="0.25">
      <c r="A57" s="18"/>
      <c r="B57" s="47"/>
      <c r="C57" s="47"/>
      <c r="D57" s="48"/>
      <c r="E57" s="48"/>
      <c r="F57" s="48"/>
      <c r="G57" s="49"/>
      <c r="H57" s="19"/>
      <c r="I57" s="149" t="s">
        <v>111</v>
      </c>
      <c r="J57" s="167">
        <f>SUM(B54:B56)*$V57</f>
        <v>0</v>
      </c>
      <c r="K57" s="167">
        <f>SUM(C54:C56)*$V57</f>
        <v>0</v>
      </c>
      <c r="L57" s="167">
        <f>SUM(D54:D56)*$V57</f>
        <v>0</v>
      </c>
      <c r="M57" s="167">
        <f>SUM(E54:E56)*$V57</f>
        <v>0</v>
      </c>
      <c r="N57" s="167">
        <f>SUM(F54:F56)*$V57</f>
        <v>0</v>
      </c>
      <c r="O57" s="21"/>
      <c r="P57" s="138"/>
      <c r="Q57" s="138"/>
      <c r="R57" s="12"/>
      <c r="S57" s="12"/>
      <c r="T57" s="272">
        <f>Budget!T57</f>
        <v>0</v>
      </c>
      <c r="U57" s="273">
        <f>Budget!U57</f>
        <v>0</v>
      </c>
      <c r="V57" s="339">
        <f>Budget!V57</f>
        <v>0</v>
      </c>
      <c r="W57" s="275"/>
    </row>
    <row r="58" spans="1:24" outlineLevel="1" x14ac:dyDescent="0.25">
      <c r="A58" s="292" t="s">
        <v>206</v>
      </c>
      <c r="B58" s="47"/>
      <c r="C58" s="48"/>
      <c r="D58" s="48"/>
      <c r="E58" s="48"/>
      <c r="F58" s="48"/>
      <c r="G58" s="46"/>
      <c r="I58" s="89" t="s">
        <v>132</v>
      </c>
      <c r="J58" s="166">
        <f>IF(U62="F",J59*12,SUM(J60*9,J61))</f>
        <v>0</v>
      </c>
      <c r="K58" s="166">
        <f>IF(U62="F",K59*12,SUM(K60*9,K61))</f>
        <v>0</v>
      </c>
      <c r="L58" s="166">
        <f>IF(U62="F",L59*12,SUM(L60*9,L61))</f>
        <v>0</v>
      </c>
      <c r="M58" s="166">
        <f>IF(U62="F",M59*12,SUM(M60*9,M61))</f>
        <v>0</v>
      </c>
      <c r="N58" s="166">
        <f>IF(U62="F",N59*12,SUM(N60*9,N61))</f>
        <v>0</v>
      </c>
      <c r="O58" s="41" t="s">
        <v>51</v>
      </c>
      <c r="P58" s="134" t="s">
        <v>130</v>
      </c>
      <c r="Q58" s="134" t="s">
        <v>131</v>
      </c>
      <c r="R58" s="11"/>
      <c r="S58" s="12"/>
      <c r="T58" s="78"/>
      <c r="V58" s="240"/>
    </row>
    <row r="59" spans="1:24" outlineLevel="1" x14ac:dyDescent="0.25">
      <c r="A59" s="13" t="e">
        <f>ROUND(P59*100, 2)&amp;"% Avg. Fiscal Effort, "&amp;ROUND(Q59, 2)&amp;" Avg. Calendar Months"</f>
        <v>#DIV/0!</v>
      </c>
      <c r="B59" s="47">
        <f>(O59*J59)-Budget!B59</f>
        <v>0</v>
      </c>
      <c r="C59" s="47">
        <f>(IF($J$6&gt;1,IF($U$1&lt;&gt;0,IF(O59*(1+$O$6)&lt;=$U$1,O59*K59*(1+$O$6),$U$1*K59),O59*K59*(1+$O$6)),0))-Budget!C59</f>
        <v>0</v>
      </c>
      <c r="D59" s="47">
        <f>(IF($J$6&gt;2,IF($U$1&lt;&gt;0,IF(O59*(1+$O$6)^2&lt;=$U$1,O59*L59*(1+$O$6)^2,$U$1*L59),O59*L59*(1+$O$6)^2),0))-Budget!D59</f>
        <v>0</v>
      </c>
      <c r="E59" s="47">
        <f>(IF($J$6&gt;3,IF($U$1&lt;&gt;0,IF(O59*(1+$O$6)^3&lt;=$U$1,O59*M59*(1+$O$6)^3,$U$1*M59),O59*M59*(1+$O$6)^3),0))-Budget!E59</f>
        <v>0</v>
      </c>
      <c r="F59" s="47">
        <f>(IF($J$6&gt;4,IF($U$1&lt;&gt;0,IF(O59*(1+$O$6)^4&lt;=$U$1,O59*N59*(1+$O$6)^4,$U$1*N59),O59*N59*(1+$O$6)^4),0))-Budget!F59</f>
        <v>0</v>
      </c>
      <c r="G59" s="46">
        <f>SUM(B59:F59)</f>
        <v>0</v>
      </c>
      <c r="H59" s="14"/>
      <c r="I59" s="89" t="s">
        <v>26</v>
      </c>
      <c r="J59" s="265">
        <f>Budget!J59</f>
        <v>0</v>
      </c>
      <c r="K59" s="265">
        <f>Budget!K59</f>
        <v>0</v>
      </c>
      <c r="L59" s="265">
        <f>Budget!L59</f>
        <v>0</v>
      </c>
      <c r="M59" s="265">
        <f>Budget!M59</f>
        <v>0</v>
      </c>
      <c r="N59" s="265">
        <f>Budget!N59</f>
        <v>0</v>
      </c>
      <c r="O59" s="128">
        <f>IF(U62="F",IF($U$1&lt;&gt;0,IF(T62&gt;$U$1,$U$1,T62),T62),0)</f>
        <v>0</v>
      </c>
      <c r="P59" s="135" t="e">
        <f>SUM(J58:N58)/(ROUNDUP($J$6,0)*12)</f>
        <v>#DIV/0!</v>
      </c>
      <c r="Q59" s="136" t="e">
        <f>(SUM(J58:N58)/(CEILING($J$6*12,12)))*12</f>
        <v>#DIV/0!</v>
      </c>
      <c r="T59" s="78"/>
      <c r="V59" s="240"/>
      <c r="X59" s="17"/>
    </row>
    <row r="60" spans="1:24" outlineLevel="1" x14ac:dyDescent="0.25">
      <c r="A60" s="376" t="e">
        <f>ROUND(P59*100,2)&amp;"% Annualized Effort, "&amp;ROUND(Q60,2)&amp;" Avg. Academic Months
"&amp;IF(SUM(J61:N61)&gt;0," and "&amp;Q61 &amp;" Avg. Summer Months", "")</f>
        <v>#DIV/0!</v>
      </c>
      <c r="B60" s="246">
        <f>(J60*O60)-Budget!B60</f>
        <v>0</v>
      </c>
      <c r="C60" s="47">
        <f>(IF($J$6&gt;1,IF($U$1&lt;&gt;0,IF(O60*(1+$O$6)&lt;=$U$1*0.75,O60*K60*(1+$O$6),$U$1*0.75*K60),O60*K60*(1+$O$6)),0))-Budget!C60</f>
        <v>0</v>
      </c>
      <c r="D60" s="47">
        <f>(IF($J$6&gt;2,IF($U$1&lt;&gt;0,IF(O60*(1+$O$6)^2&lt;=$U$1*0.75,O60*L60*(1+$O$6)^2,$U$1*0.75*L60),O60*L60*(1+$O$6)^2),0))-Budget!D60</f>
        <v>0</v>
      </c>
      <c r="E60" s="47">
        <f>(IF($J$6&gt;3,IF($U$1&lt;&gt;0,IF(O60*(1+$O$6)^3&lt;=$U$1*0.75,O60*M60*(1+$O$6)^3,$U$1*0.75*M60),O60*M60*(1+$O$6)^3),0))-Budget!E60</f>
        <v>0</v>
      </c>
      <c r="F60" s="47">
        <f>(IF($J$6&gt;4,IF($U$1&lt;&gt;0,IF(O60*(1+$O$6)^4&lt;=$U$1*0.75,O60*N60*(1+$O$6)^4,$U$1*0.75*N60),O60*N60*(1+$O$6)^4),0))-Budget!F60</f>
        <v>0</v>
      </c>
      <c r="G60" s="46">
        <f>SUM(B60:F60)</f>
        <v>0</v>
      </c>
      <c r="H60" s="14"/>
      <c r="I60" s="89" t="s">
        <v>15</v>
      </c>
      <c r="J60" s="265">
        <f>Budget!J60</f>
        <v>0</v>
      </c>
      <c r="K60" s="265">
        <f>Budget!K60</f>
        <v>0</v>
      </c>
      <c r="L60" s="265">
        <f>Budget!L60</f>
        <v>0</v>
      </c>
      <c r="M60" s="265">
        <f>Budget!M60</f>
        <v>0</v>
      </c>
      <c r="N60" s="265">
        <f>Budget!N60</f>
        <v>0</v>
      </c>
      <c r="O60" s="128">
        <f>IF(U62="A",IF($U$1&lt;&gt;0,IF(T62&gt;($U$1/12*9),($U$1/12*9),T62),T62),0)</f>
        <v>0</v>
      </c>
      <c r="P60" s="194"/>
      <c r="Q60" s="137" t="e">
        <f>((SUM(J58:N58)-SUM(J61:N61))/(CEILING($J$6*9,9)))*9</f>
        <v>#DIV/0!</v>
      </c>
      <c r="R60" s="12"/>
      <c r="S60" s="12"/>
      <c r="T60" s="78"/>
      <c r="V60" s="240"/>
    </row>
    <row r="61" spans="1:24" outlineLevel="1" x14ac:dyDescent="0.25">
      <c r="A61" s="376"/>
      <c r="B61" s="246">
        <f>(J61/3*O61)-Budget!B61</f>
        <v>0</v>
      </c>
      <c r="C61" s="47">
        <f>(IF($J$6&gt;1,IF($U$1&lt;&gt;0,IF(O61*(1+$O$6)&lt;=$U$1*0.25,O61*K61/3*(1+$O$6),$U$1*0.25*K61/3),O61*K61/3*(1+$O$6)),0))-Budget!C61</f>
        <v>0</v>
      </c>
      <c r="D61" s="47">
        <f>(IF($J$6&gt;2,IF($U$1&lt;&gt;0,IF(O61*(1+$O$6)^2&lt;=$U$1*0.25,O61*L61/3*(1+$O$6)^2,$U$1*0.25*L61/3),O61*L61/3*(1+$O$6)^2),0))-Budget!D61</f>
        <v>0</v>
      </c>
      <c r="E61" s="47">
        <f>(IF($J$6&gt;3,IF($U$1&lt;&gt;0,IF(O61*(1+$O$6)^3&lt;=$U$1*0.25,O61*M61/3*(1+$O$6)^3,$U$1*0.25*M61/3),O61*M61/3*(1+$O$6)^3),0))-Budget!E61</f>
        <v>0</v>
      </c>
      <c r="F61" s="47">
        <f>(IF($J$6&gt;4,IF($U$1&lt;&gt;0,IF(O61*(1+$O$6)^4&lt;=$U$1*0.25,O61*N61/3*(1+$O$6)^4,$U$1*0.25*N61/3),O61*N61/3*(1+$O$6)^4),0))-Budget!F61</f>
        <v>0</v>
      </c>
      <c r="G61" s="46">
        <f>SUM(B61:F61)</f>
        <v>0</v>
      </c>
      <c r="H61" s="14"/>
      <c r="I61" s="89" t="s">
        <v>17</v>
      </c>
      <c r="J61" s="266">
        <f>Budget!J61</f>
        <v>0</v>
      </c>
      <c r="K61" s="266">
        <f>Budget!K61</f>
        <v>0</v>
      </c>
      <c r="L61" s="266">
        <f>Budget!L61</f>
        <v>0</v>
      </c>
      <c r="M61" s="266">
        <f>Budget!M61</f>
        <v>0</v>
      </c>
      <c r="N61" s="266">
        <f>Budget!N61</f>
        <v>0</v>
      </c>
      <c r="O61" s="128">
        <f>O60*0.000731*456</f>
        <v>0</v>
      </c>
      <c r="P61" s="138"/>
      <c r="Q61" s="138" t="e">
        <f>((SUM(J58:N58)-SUM(J60:N60)*9)/(CEILING($J$6*3,3)))*3</f>
        <v>#DIV/0!</v>
      </c>
      <c r="R61" s="12"/>
      <c r="S61" s="12"/>
      <c r="V61" s="240"/>
    </row>
    <row r="62" spans="1:24" outlineLevel="1" x14ac:dyDescent="0.25">
      <c r="A62" s="18"/>
      <c r="B62" s="47"/>
      <c r="C62" s="47"/>
      <c r="D62" s="48"/>
      <c r="E62" s="48"/>
      <c r="F62" s="48"/>
      <c r="G62" s="49"/>
      <c r="H62" s="19"/>
      <c r="I62" s="149" t="s">
        <v>111</v>
      </c>
      <c r="J62" s="167">
        <f>SUM(B59:B61)*$V62</f>
        <v>0</v>
      </c>
      <c r="K62" s="167">
        <f>SUM(C59:C61)*$V62</f>
        <v>0</v>
      </c>
      <c r="L62" s="167">
        <f>SUM(D59:D61)*$V62</f>
        <v>0</v>
      </c>
      <c r="M62" s="167">
        <f>SUM(E59:E61)*$V62</f>
        <v>0</v>
      </c>
      <c r="N62" s="167">
        <f>SUM(F59:F61)*$V62</f>
        <v>0</v>
      </c>
      <c r="O62" s="21"/>
      <c r="P62" s="138"/>
      <c r="Q62" s="138"/>
      <c r="R62" s="12"/>
      <c r="S62" s="12"/>
      <c r="T62" s="272">
        <f>Budget!T62</f>
        <v>0</v>
      </c>
      <c r="U62" s="273">
        <f>Budget!U62</f>
        <v>0</v>
      </c>
      <c r="V62" s="339">
        <f>Budget!V62</f>
        <v>0</v>
      </c>
      <c r="W62" s="275"/>
    </row>
    <row r="63" spans="1:24" outlineLevel="1" x14ac:dyDescent="0.25">
      <c r="A63" s="292" t="s">
        <v>207</v>
      </c>
      <c r="B63" s="47"/>
      <c r="C63" s="48"/>
      <c r="D63" s="48"/>
      <c r="E63" s="48"/>
      <c r="F63" s="48"/>
      <c r="G63" s="46"/>
      <c r="I63" s="89" t="s">
        <v>132</v>
      </c>
      <c r="J63" s="166">
        <f>IF(U67="F",J64*12,SUM(J65*9,J66))</f>
        <v>0</v>
      </c>
      <c r="K63" s="166">
        <f>IF(U67="F",K64*12,SUM(K65*9,K66))</f>
        <v>0</v>
      </c>
      <c r="L63" s="166">
        <f>IF(U67="F",L64*12,SUM(L65*9,L66))</f>
        <v>0</v>
      </c>
      <c r="M63" s="166">
        <f>IF(U67="F",M64*12,SUM(M65*9,M66))</f>
        <v>0</v>
      </c>
      <c r="N63" s="166">
        <f>IF(U67="F",N64*12,SUM(N65*9,N66))</f>
        <v>0</v>
      </c>
      <c r="O63" s="41" t="s">
        <v>51</v>
      </c>
      <c r="P63" s="134" t="s">
        <v>130</v>
      </c>
      <c r="Q63" s="134" t="s">
        <v>131</v>
      </c>
      <c r="R63" s="11"/>
      <c r="S63" s="12"/>
      <c r="T63" s="78"/>
      <c r="V63" s="240"/>
    </row>
    <row r="64" spans="1:24" outlineLevel="1" x14ac:dyDescent="0.25">
      <c r="A64" s="13" t="e">
        <f>ROUND(P64*100, 2)&amp;"% Avg. Fiscal Effort, "&amp;ROUND(Q64, 2)&amp;" Avg. Calendar Months"</f>
        <v>#DIV/0!</v>
      </c>
      <c r="B64" s="47">
        <f>(O64*J64)-Budget!B64</f>
        <v>0</v>
      </c>
      <c r="C64" s="47">
        <f>(IF($J$6&gt;1,IF($U$1&lt;&gt;0,IF(O64*(1+$O$6)&lt;=$U$1,O64*K64*(1+$O$6),$U$1*K64),O64*K64*(1+$O$6)),0))-Budget!C64</f>
        <v>0</v>
      </c>
      <c r="D64" s="47">
        <f>(IF($J$6&gt;2,IF($U$1&lt;&gt;0,IF(O64*(1+$O$6)^2&lt;=$U$1,O64*L64*(1+$O$6)^2,$U$1*L64),O64*L64*(1+$O$6)^2),0))-Budget!D64</f>
        <v>0</v>
      </c>
      <c r="E64" s="47">
        <f>(IF($J$6&gt;3,IF($U$1&lt;&gt;0,IF(O64*(1+$O$6)^3&lt;=$U$1,O64*M64*(1+$O$6)^3,$U$1*M64),O64*M64*(1+$O$6)^3),0))-Budget!E64</f>
        <v>0</v>
      </c>
      <c r="F64" s="47">
        <f>(IF($J$6&gt;4,IF($U$1&lt;&gt;0,IF(O64*(1+$O$6)^4&lt;=$U$1,O64*N64*(1+$O$6)^4,$U$1*N64),O64*N64*(1+$O$6)^4),0))-Budget!F64</f>
        <v>0</v>
      </c>
      <c r="G64" s="46">
        <f>SUM(B64:F64)</f>
        <v>0</v>
      </c>
      <c r="H64" s="14"/>
      <c r="I64" s="89" t="s">
        <v>26</v>
      </c>
      <c r="J64" s="265">
        <f>Budget!J64</f>
        <v>0</v>
      </c>
      <c r="K64" s="265">
        <f>Budget!K64</f>
        <v>0</v>
      </c>
      <c r="L64" s="265">
        <f>Budget!L64</f>
        <v>0</v>
      </c>
      <c r="M64" s="265">
        <f>Budget!M64</f>
        <v>0</v>
      </c>
      <c r="N64" s="265">
        <f>Budget!N64</f>
        <v>0</v>
      </c>
      <c r="O64" s="128">
        <f>IF(U67="F",IF($U$1&lt;&gt;0,IF(T67&gt;$U$1,$U$1,T67),T67),0)</f>
        <v>0</v>
      </c>
      <c r="P64" s="135" t="e">
        <f>SUM(J63:N63)/(ROUNDUP($J$6,0)*12)</f>
        <v>#DIV/0!</v>
      </c>
      <c r="Q64" s="136" t="e">
        <f>(SUM(J63:N63)/(CEILING($J$6*12,12)))*12</f>
        <v>#DIV/0!</v>
      </c>
      <c r="T64" s="78"/>
      <c r="V64" s="240"/>
      <c r="X64" s="17"/>
    </row>
    <row r="65" spans="1:23" outlineLevel="1" x14ac:dyDescent="0.25">
      <c r="A65" s="376" t="e">
        <f>ROUND(P64*100,2)&amp;"% Annualized Effort, "&amp;ROUND(Q65,2)&amp;" Avg. Academic Months
"&amp;IF(SUM(J66:N66)&gt;0," and "&amp;Q66 &amp;" Avg. Summer Months", "")</f>
        <v>#DIV/0!</v>
      </c>
      <c r="B65" s="47">
        <f>(J65*O65)-Budget!B65</f>
        <v>0</v>
      </c>
      <c r="C65" s="47">
        <f>(IF($J$6&gt;1,IF($U$1&lt;&gt;0,IF(O65*(1+$O$6)&lt;=$U$1*0.75,O65*K65*(1+$O$6),$U$1*0.75*K65),O65*K65*(1+$O$6)),0))-Budget!C65</f>
        <v>0</v>
      </c>
      <c r="D65" s="47">
        <f>(IF($J$6&gt;2,IF($U$1&lt;&gt;0,IF(O65*(1+$O$6)^2&lt;=$U$1*0.75,O65*L65*(1+$O$6)^2,$U$1*0.75*L65),O65*L65*(1+$O$6)^2),0))-Budget!D65</f>
        <v>0</v>
      </c>
      <c r="E65" s="47">
        <f>(IF($J$6&gt;3,IF($U$1&lt;&gt;0,IF(O65*(1+$O$6)^3&lt;=$U$1*0.75,O65*M65*(1+$O$6)^3,$U$1*0.75*M65),O65*M65*(1+$O$6)^3),0))-Budget!E65</f>
        <v>0</v>
      </c>
      <c r="F65" s="47">
        <f>(IF($J$6&gt;4,IF($U$1&lt;&gt;0,IF(O65*(1+$O$6)^4&lt;=$U$1*0.75,O65*N65*(1+$O$6)^4,$U$1*0.75*N65),O65*N65*(1+$O$6)^4),0))-Budget!F65</f>
        <v>0</v>
      </c>
      <c r="G65" s="46">
        <f>SUM(B65:F65)</f>
        <v>0</v>
      </c>
      <c r="H65" s="14"/>
      <c r="I65" s="89" t="s">
        <v>15</v>
      </c>
      <c r="J65" s="265">
        <f>Budget!J65</f>
        <v>0</v>
      </c>
      <c r="K65" s="265">
        <f>Budget!K65</f>
        <v>0</v>
      </c>
      <c r="L65" s="265">
        <f>Budget!L65</f>
        <v>0</v>
      </c>
      <c r="M65" s="265">
        <f>Budget!M65</f>
        <v>0</v>
      </c>
      <c r="N65" s="265">
        <f>Budget!N65</f>
        <v>0</v>
      </c>
      <c r="O65" s="128">
        <f>IF(U67="A",IF($U$1&lt;&gt;0,IF(T67&gt;($U$1/12*9),($U$1/12*9),T67),T67),0)</f>
        <v>0</v>
      </c>
      <c r="P65" s="194"/>
      <c r="Q65" s="137" t="e">
        <f>((SUM(J63:N63)-SUM(J66:N66))/(CEILING($J$6*9,9)))*9</f>
        <v>#DIV/0!</v>
      </c>
      <c r="R65" s="12"/>
      <c r="S65" s="12"/>
      <c r="T65" s="78"/>
      <c r="V65" s="240"/>
    </row>
    <row r="66" spans="1:23" outlineLevel="1" x14ac:dyDescent="0.25">
      <c r="A66" s="376"/>
      <c r="B66" s="47">
        <f>(J66/3*O66)-Budget!B66</f>
        <v>0</v>
      </c>
      <c r="C66" s="47">
        <f>(IF($J$6&gt;1,IF($U$1&lt;&gt;0,IF(O66*(1+$O$6)&lt;=$U$1*0.25,O66*K66/3*(1+$O$6),$U$1*0.25*K66/3),O66*K66/3*(1+$O$6)),0))-Budget!C66</f>
        <v>0</v>
      </c>
      <c r="D66" s="47">
        <f>(IF($J$6&gt;2,IF($U$1&lt;&gt;0,IF(O66*(1+$O$6)^2&lt;=$U$1*0.25,O66*L66/3*(1+$O$6)^2,$U$1*0.25*L66/3),O66*L66/3*(1+$O$6)^2),0))-Budget!D66</f>
        <v>0</v>
      </c>
      <c r="E66" s="47">
        <f>(IF($J$6&gt;3,IF($U$1&lt;&gt;0,IF(O66*(1+$O$6)^3&lt;=$U$1*0.25,O66*M66/3*(1+$O$6)^3,$U$1*0.25*M66/3),O66*M66/3*(1+$O$6)^3),0))-Budget!E66</f>
        <v>0</v>
      </c>
      <c r="F66" s="47">
        <f>(IF($J$6&gt;4,IF($U$1&lt;&gt;0,IF(O66*(1+$O$6)^4&lt;=$U$1*0.25,O66*N66/3*(1+$O$6)^4,$U$1*0.25*N66/3),O66*N66/3*(1+$O$6)^4),0))-Budget!F66</f>
        <v>0</v>
      </c>
      <c r="G66" s="46">
        <f>SUM(B66:F66)</f>
        <v>0</v>
      </c>
      <c r="H66" s="14"/>
      <c r="I66" s="89" t="s">
        <v>17</v>
      </c>
      <c r="J66" s="266">
        <f>Budget!J66</f>
        <v>0</v>
      </c>
      <c r="K66" s="266">
        <f>Budget!K66</f>
        <v>0</v>
      </c>
      <c r="L66" s="266">
        <f>Budget!L66</f>
        <v>0</v>
      </c>
      <c r="M66" s="266">
        <f>Budget!M66</f>
        <v>0</v>
      </c>
      <c r="N66" s="266">
        <f>Budget!N66</f>
        <v>0</v>
      </c>
      <c r="O66" s="128">
        <f>O65*0.000731*456</f>
        <v>0</v>
      </c>
      <c r="P66" s="138"/>
      <c r="Q66" s="138" t="e">
        <f>((SUM(J63:N63)-SUM(J65:N65)*9)/(CEILING($J$6*3,3)))*3</f>
        <v>#DIV/0!</v>
      </c>
      <c r="R66" s="12"/>
      <c r="S66" s="12"/>
      <c r="V66" s="240"/>
    </row>
    <row r="67" spans="1:23" outlineLevel="1" x14ac:dyDescent="0.25">
      <c r="A67" s="18"/>
      <c r="B67" s="47"/>
      <c r="C67" s="47"/>
      <c r="D67" s="48"/>
      <c r="E67" s="48"/>
      <c r="F67" s="48"/>
      <c r="G67" s="49"/>
      <c r="H67" s="19"/>
      <c r="I67" s="149" t="s">
        <v>111</v>
      </c>
      <c r="J67" s="167">
        <f>SUM(B64:B66)*$V67</f>
        <v>0</v>
      </c>
      <c r="K67" s="167">
        <f>SUM(C64:C66)*$V67</f>
        <v>0</v>
      </c>
      <c r="L67" s="167">
        <f>SUM(D64:D66)*$V67</f>
        <v>0</v>
      </c>
      <c r="M67" s="167">
        <f>SUM(E64:E66)*$V67</f>
        <v>0</v>
      </c>
      <c r="N67" s="167">
        <f>SUM(F64:F66)*$V67</f>
        <v>0</v>
      </c>
      <c r="O67" s="21"/>
      <c r="P67" s="138"/>
      <c r="Q67" s="138"/>
      <c r="R67" s="12"/>
      <c r="S67" s="12"/>
      <c r="T67" s="272">
        <f>Budget!T67</f>
        <v>0</v>
      </c>
      <c r="U67" s="273">
        <f>Budget!U67</f>
        <v>0</v>
      </c>
      <c r="V67" s="339">
        <f>Budget!V67</f>
        <v>0</v>
      </c>
      <c r="W67" s="275"/>
    </row>
    <row r="68" spans="1:23" outlineLevel="1" x14ac:dyDescent="0.25">
      <c r="A68" s="22" t="s">
        <v>168</v>
      </c>
      <c r="B68" s="47"/>
      <c r="C68" s="47"/>
      <c r="D68" s="47"/>
      <c r="E68" s="47"/>
      <c r="F68" s="47"/>
      <c r="G68" s="46"/>
      <c r="H68" s="14"/>
      <c r="I68" s="89" t="s">
        <v>132</v>
      </c>
      <c r="J68" s="166">
        <f>J69*12</f>
        <v>0</v>
      </c>
      <c r="K68" s="166">
        <f t="shared" ref="K68:N68" si="36">K69*12</f>
        <v>0</v>
      </c>
      <c r="L68" s="166">
        <f t="shared" si="36"/>
        <v>0</v>
      </c>
      <c r="M68" s="166">
        <f t="shared" si="36"/>
        <v>0</v>
      </c>
      <c r="N68" s="166">
        <f t="shared" si="36"/>
        <v>0</v>
      </c>
      <c r="O68" s="85" t="s">
        <v>51</v>
      </c>
      <c r="P68" s="134" t="s">
        <v>130</v>
      </c>
      <c r="Q68" s="134" t="s">
        <v>131</v>
      </c>
      <c r="U68" s="1"/>
      <c r="V68" s="240"/>
    </row>
    <row r="69" spans="1:23" outlineLevel="1" x14ac:dyDescent="0.25">
      <c r="A69" s="13" t="e">
        <f>ROUND(P69*100, 2)&amp;"% Avg. Fiscal Effort, "&amp;ROUND(Q69, 2)&amp;" Avg. Calendar Months"</f>
        <v>#DIV/0!</v>
      </c>
      <c r="B69" s="47">
        <f>O69*J69</f>
        <v>0</v>
      </c>
      <c r="C69" s="47">
        <f>IF($J$6&gt;1,IF($U$1&lt;&gt;0,IF(O69*(1+$O$6)&lt;=$U$1,O69*K69*(1+$O$6),$U$1*K69),O69*K69*(1+$O$6)),0)</f>
        <v>0</v>
      </c>
      <c r="D69" s="47">
        <f>IF($J$6&gt;2,IF($U$1&lt;&gt;0,IF(O69*(1+$O$6)^2&lt;=$U$1,O69*L69*(1+$O$6)^2,$U$1*L69),O69*L69*(1+$O$6)^2),0)</f>
        <v>0</v>
      </c>
      <c r="E69" s="47">
        <f>IF($J$6&gt;3,IF($U$1&lt;&gt;0,IF(O69*(1+$O$6)^3&lt;=$U$1,O69*M69*(1+$O$6)^3,$U$1*M69),O69*M69*(1+$O$6)^3),0)</f>
        <v>0</v>
      </c>
      <c r="F69" s="47">
        <f>IF($J$6&gt;4,IF($U$1&lt;&gt;0,IF(O69*(1+$O$6)^4&lt;=$U$1,O69*N69*(1+$O$6)^4,$U$1*N69),O69*N69*(1+$O$6)^4),0)</f>
        <v>0</v>
      </c>
      <c r="G69" s="46">
        <f>SUM(B69:F69)</f>
        <v>0</v>
      </c>
      <c r="H69" s="14"/>
      <c r="I69" s="89" t="s">
        <v>26</v>
      </c>
      <c r="J69" s="241">
        <v>0</v>
      </c>
      <c r="K69" s="241">
        <f>IF($J$6&gt;1,J69,0)</f>
        <v>0</v>
      </c>
      <c r="L69" s="241">
        <f>IF($J$6&gt;2,K69,0)</f>
        <v>0</v>
      </c>
      <c r="M69" s="241">
        <f>IF($J$6&gt;3,L69,0)</f>
        <v>0</v>
      </c>
      <c r="N69" s="241">
        <f>IF($J$6&gt;4,M69,0)</f>
        <v>0</v>
      </c>
      <c r="O69" s="146">
        <v>0</v>
      </c>
      <c r="P69" s="135" t="e">
        <f>SUM(J68:N68)/(ROUNDUP($J$6,0)*12)</f>
        <v>#DIV/0!</v>
      </c>
      <c r="Q69" s="136" t="e">
        <f>(SUM(J68:N68)/(CEILING($J$6*12,12)))*12</f>
        <v>#DIV/0!</v>
      </c>
      <c r="T69" s="2"/>
      <c r="V69" s="247"/>
    </row>
    <row r="70" spans="1:23" outlineLevel="1" x14ac:dyDescent="0.25">
      <c r="B70" s="47"/>
      <c r="C70" s="47"/>
      <c r="D70" s="47"/>
      <c r="E70" s="47"/>
      <c r="F70" s="47"/>
      <c r="G70" s="46"/>
      <c r="H70" s="14"/>
      <c r="I70" s="149" t="s">
        <v>111</v>
      </c>
      <c r="J70" s="167">
        <f>B69*$V70</f>
        <v>0</v>
      </c>
      <c r="K70" s="167">
        <f t="shared" ref="K70:N70" si="37">C69*$V70</f>
        <v>0</v>
      </c>
      <c r="L70" s="167">
        <f t="shared" si="37"/>
        <v>0</v>
      </c>
      <c r="M70" s="167">
        <f>E69*$V70</f>
        <v>0</v>
      </c>
      <c r="N70" s="167">
        <f t="shared" si="37"/>
        <v>0</v>
      </c>
      <c r="O70" s="21"/>
      <c r="P70" s="248"/>
      <c r="Q70" s="137"/>
      <c r="T70" s="243"/>
      <c r="U70" s="154" t="s">
        <v>127</v>
      </c>
      <c r="V70" s="244"/>
      <c r="W70" s="155"/>
    </row>
    <row r="71" spans="1:23" outlineLevel="1" x14ac:dyDescent="0.25">
      <c r="A71" s="22" t="s">
        <v>168</v>
      </c>
      <c r="B71" s="47"/>
      <c r="C71" s="47"/>
      <c r="D71" s="47"/>
      <c r="E71" s="47"/>
      <c r="F71" s="47"/>
      <c r="G71" s="46"/>
      <c r="H71" s="14"/>
      <c r="I71" s="89" t="s">
        <v>132</v>
      </c>
      <c r="J71" s="166">
        <f>J72*12</f>
        <v>0</v>
      </c>
      <c r="K71" s="166">
        <f t="shared" ref="K71:N71" si="38">K72*12</f>
        <v>0</v>
      </c>
      <c r="L71" s="166">
        <f t="shared" si="38"/>
        <v>0</v>
      </c>
      <c r="M71" s="166">
        <f t="shared" si="38"/>
        <v>0</v>
      </c>
      <c r="N71" s="166">
        <f t="shared" si="38"/>
        <v>0</v>
      </c>
      <c r="O71" s="85" t="s">
        <v>51</v>
      </c>
      <c r="P71" s="134" t="s">
        <v>130</v>
      </c>
      <c r="Q71" s="134" t="s">
        <v>131</v>
      </c>
      <c r="U71" s="1"/>
      <c r="V71" s="247"/>
    </row>
    <row r="72" spans="1:23" outlineLevel="1" x14ac:dyDescent="0.25">
      <c r="A72" s="13" t="e">
        <f>ROUND(P72*100, 2)&amp;"% Avg. Fiscal Effort, "&amp;ROUND(Q72, 2)&amp;" Avg. Calendar Months"</f>
        <v>#DIV/0!</v>
      </c>
      <c r="B72" s="47">
        <f>O72*J72</f>
        <v>0</v>
      </c>
      <c r="C72" s="47">
        <f>IF($J$6&gt;1,IF($U$1&lt;&gt;0,IF(O72*(1+$O$6)&lt;=$U$1,O72*K72*(1+$O$6),$U$1*K72),O72*K72*(1+$O$6)),0)</f>
        <v>0</v>
      </c>
      <c r="D72" s="47">
        <f>IF($J$6&gt;2,IF($U$1&lt;&gt;0,IF(O72*(1+$O$6)^2&lt;=$U$1,O72*L72*(1+$O$6)^2,$U$1*L72),O72*L72*(1+$O$6)^2),0)</f>
        <v>0</v>
      </c>
      <c r="E72" s="47">
        <f>IF($J$6&gt;3,IF($U$1&lt;&gt;0,IF(O72*(1+$O$6)^3&lt;=$U$1,O72*M72*(1+$O$6)^3,$U$1*M72),O72*M72*(1+$O$6)^3),0)</f>
        <v>0</v>
      </c>
      <c r="F72" s="47">
        <f>IF($J$6&gt;4,IF($U$1&lt;&gt;0,IF(O72*(1+$O$6)^4&lt;=$U$1,O72*N72*(1+$O$6)^4,$U$1*N72),O72*N72*(1+$O$6)^4),0)</f>
        <v>0</v>
      </c>
      <c r="G72" s="46">
        <f>SUM(B72:F72)</f>
        <v>0</v>
      </c>
      <c r="H72" s="14"/>
      <c r="I72" s="89" t="s">
        <v>26</v>
      </c>
      <c r="J72" s="241">
        <v>0</v>
      </c>
      <c r="K72" s="241">
        <f>IF($J$6&gt;1,J72,0)</f>
        <v>0</v>
      </c>
      <c r="L72" s="241">
        <f>IF($J$6&gt;2,K72,0)</f>
        <v>0</v>
      </c>
      <c r="M72" s="241">
        <f>IF($J$6&gt;3,L72,0)</f>
        <v>0</v>
      </c>
      <c r="N72" s="241">
        <f>IF($J$6&gt;4,M72,0)</f>
        <v>0</v>
      </c>
      <c r="O72" s="146">
        <v>0</v>
      </c>
      <c r="P72" s="135" t="e">
        <f>SUM(J71:N71)/(ROUNDUP($J$6,0)*12)</f>
        <v>#DIV/0!</v>
      </c>
      <c r="Q72" s="136" t="e">
        <f>(SUM(J71:N71)/(CEILING($J$6*12,12)))*12</f>
        <v>#DIV/0!</v>
      </c>
      <c r="T72" s="2"/>
      <c r="V72" s="247"/>
    </row>
    <row r="73" spans="1:23" outlineLevel="1" x14ac:dyDescent="0.25">
      <c r="B73" s="47"/>
      <c r="C73" s="47"/>
      <c r="D73" s="47"/>
      <c r="E73" s="47"/>
      <c r="F73" s="47"/>
      <c r="G73" s="46"/>
      <c r="H73" s="14"/>
      <c r="I73" s="149" t="s">
        <v>111</v>
      </c>
      <c r="J73" s="167">
        <f>B72*$V73</f>
        <v>0</v>
      </c>
      <c r="K73" s="167">
        <f t="shared" ref="K73:L73" si="39">C72*$V73</f>
        <v>0</v>
      </c>
      <c r="L73" s="167">
        <f t="shared" si="39"/>
        <v>0</v>
      </c>
      <c r="M73" s="167">
        <f>E72*$V73</f>
        <v>0</v>
      </c>
      <c r="N73" s="167">
        <f t="shared" ref="N73" si="40">F72*$V73</f>
        <v>0</v>
      </c>
      <c r="O73" s="21"/>
      <c r="P73" s="248"/>
      <c r="Q73" s="137"/>
      <c r="T73" s="243"/>
      <c r="U73" s="154" t="s">
        <v>127</v>
      </c>
      <c r="V73" s="244"/>
      <c r="W73" s="155"/>
    </row>
    <row r="74" spans="1:23" hidden="1" outlineLevel="1" x14ac:dyDescent="0.25">
      <c r="A74" s="22" t="s">
        <v>168</v>
      </c>
      <c r="B74" s="47"/>
      <c r="C74" s="47"/>
      <c r="D74" s="47"/>
      <c r="E74" s="47"/>
      <c r="F74" s="47"/>
      <c r="G74" s="46"/>
      <c r="H74" s="14"/>
      <c r="I74" s="89" t="s">
        <v>132</v>
      </c>
      <c r="J74" s="166">
        <f>J75*12</f>
        <v>0</v>
      </c>
      <c r="K74" s="166">
        <f t="shared" ref="K74:N74" si="41">K75*12</f>
        <v>0</v>
      </c>
      <c r="L74" s="166">
        <f t="shared" si="41"/>
        <v>0</v>
      </c>
      <c r="M74" s="166">
        <f t="shared" si="41"/>
        <v>0</v>
      </c>
      <c r="N74" s="166">
        <f t="shared" si="41"/>
        <v>0</v>
      </c>
      <c r="O74" s="85" t="s">
        <v>51</v>
      </c>
      <c r="P74" s="134" t="s">
        <v>130</v>
      </c>
      <c r="Q74" s="134" t="s">
        <v>131</v>
      </c>
      <c r="U74" s="1"/>
      <c r="V74" s="247"/>
    </row>
    <row r="75" spans="1:23" hidden="1" outlineLevel="1" x14ac:dyDescent="0.25">
      <c r="A75" s="13" t="e">
        <f>ROUND(P75*100, 2)&amp;"% Avg. Fiscal Effort, "&amp;ROUND(Q75, 2)&amp;" Avg. Calendar Months"</f>
        <v>#DIV/0!</v>
      </c>
      <c r="B75" s="47">
        <f>O75*J75</f>
        <v>0</v>
      </c>
      <c r="C75" s="47">
        <f>IF($J$6&gt;1,IF($U$1&lt;&gt;0,IF(O75*(1+$O$6)&lt;=$U$1,O75*K75*(1+$O$6),$U$1*K75),O75*K75*(1+$O$6)),0)</f>
        <v>0</v>
      </c>
      <c r="D75" s="47">
        <f>IF($J$6&gt;2,IF($U$1&lt;&gt;0,IF(O75*(1+$O$6)^2&lt;=$U$1,O75*L75*(1+$O$6)^2,$U$1*L75),O75*L75*(1+$O$6)^2),0)</f>
        <v>0</v>
      </c>
      <c r="E75" s="47">
        <f>IF($J$6&gt;3,IF($U$1&lt;&gt;0,IF(O75*(1+$O$6)^3&lt;=$U$1,O75*M75*(1+$O$6)^3,$U$1*M75),O75*M75*(1+$O$6)^3),0)</f>
        <v>0</v>
      </c>
      <c r="F75" s="47">
        <f>IF($J$6&gt;4,IF($U$1&lt;&gt;0,IF(O75*(1+$O$6)^4&lt;=$U$1,O75*N75*(1+$O$6)^4,$U$1*N75),O75*N75*(1+$O$6)^4),0)</f>
        <v>0</v>
      </c>
      <c r="G75" s="46">
        <f>SUM(B75:F75)</f>
        <v>0</v>
      </c>
      <c r="H75" s="14"/>
      <c r="I75" s="89" t="s">
        <v>26</v>
      </c>
      <c r="J75" s="241">
        <v>0</v>
      </c>
      <c r="K75" s="241">
        <f>IF($J$6&gt;1,J75,0)</f>
        <v>0</v>
      </c>
      <c r="L75" s="241">
        <f>IF($J$6&gt;2,K75,0)</f>
        <v>0</v>
      </c>
      <c r="M75" s="241">
        <f>IF($J$6&gt;3,L75,0)</f>
        <v>0</v>
      </c>
      <c r="N75" s="241">
        <f>IF($J$6&gt;4,M75,0)</f>
        <v>0</v>
      </c>
      <c r="O75" s="146">
        <f>IF($U$2&lt;&gt;0,IF(T76&lt;$U$2,$U$2,T76),T76)</f>
        <v>56484</v>
      </c>
      <c r="P75" s="135" t="e">
        <f>SUM(J74:N74)/(ROUNDUP($J$6,0)*12)</f>
        <v>#DIV/0!</v>
      </c>
      <c r="Q75" s="136" t="e">
        <f>(SUM(J74:N74)/(CEILING($J$6*12,12)))*12</f>
        <v>#DIV/0!</v>
      </c>
      <c r="T75" s="2"/>
      <c r="V75" s="247"/>
    </row>
    <row r="76" spans="1:23" hidden="1" outlineLevel="1" x14ac:dyDescent="0.25">
      <c r="B76" s="47"/>
      <c r="C76" s="47"/>
      <c r="D76" s="47"/>
      <c r="E76" s="47"/>
      <c r="F76" s="47"/>
      <c r="G76" s="46"/>
      <c r="H76" s="14"/>
      <c r="I76" s="149" t="s">
        <v>111</v>
      </c>
      <c r="J76" s="167">
        <f>B75*$V76</f>
        <v>0</v>
      </c>
      <c r="K76" s="167">
        <f t="shared" ref="K76:L76" si="42">C75*$V76</f>
        <v>0</v>
      </c>
      <c r="L76" s="167">
        <f t="shared" si="42"/>
        <v>0</v>
      </c>
      <c r="M76" s="167">
        <f>E75*$V76</f>
        <v>0</v>
      </c>
      <c r="N76" s="167">
        <f t="shared" ref="N76" si="43">F75*$V76</f>
        <v>0</v>
      </c>
      <c r="O76" s="21"/>
      <c r="P76" s="248"/>
      <c r="Q76" s="137"/>
      <c r="T76" s="243"/>
      <c r="U76" s="154" t="s">
        <v>127</v>
      </c>
      <c r="V76" s="244"/>
      <c r="W76" s="155"/>
    </row>
    <row r="77" spans="1:23" hidden="1" outlineLevel="1" x14ac:dyDescent="0.25">
      <c r="A77" s="22" t="s">
        <v>168</v>
      </c>
      <c r="B77" s="47"/>
      <c r="C77" s="47"/>
      <c r="D77" s="47"/>
      <c r="E77" s="47"/>
      <c r="F77" s="47"/>
      <c r="G77" s="46"/>
      <c r="H77" s="14"/>
      <c r="I77" s="89" t="s">
        <v>132</v>
      </c>
      <c r="J77" s="166">
        <f>J78*12</f>
        <v>0</v>
      </c>
      <c r="K77" s="166">
        <f t="shared" ref="K77:N77" si="44">K78*12</f>
        <v>0</v>
      </c>
      <c r="L77" s="166">
        <f t="shared" si="44"/>
        <v>0</v>
      </c>
      <c r="M77" s="166">
        <f t="shared" si="44"/>
        <v>0</v>
      </c>
      <c r="N77" s="166">
        <f t="shared" si="44"/>
        <v>0</v>
      </c>
      <c r="O77" s="85" t="s">
        <v>51</v>
      </c>
      <c r="P77" s="134" t="s">
        <v>130</v>
      </c>
      <c r="Q77" s="134" t="s">
        <v>131</v>
      </c>
      <c r="U77" s="1"/>
      <c r="V77" s="247"/>
    </row>
    <row r="78" spans="1:23" hidden="1" outlineLevel="1" x14ac:dyDescent="0.25">
      <c r="A78" s="13" t="e">
        <f>ROUND(P78*100, 2)&amp;"% Avg. Fiscal Effort, "&amp;ROUND(Q78, 2)&amp;" Avg. Calendar Months"</f>
        <v>#DIV/0!</v>
      </c>
      <c r="B78" s="47">
        <f>O78*J78</f>
        <v>0</v>
      </c>
      <c r="C78" s="47">
        <f>IF($J$6&gt;1,IF($U$1&lt;&gt;0,IF(O78*(1+$O$6)&lt;=$U$1,O78*K78*(1+$O$6),$U$1*K78),O78*K78*(1+$O$6)),0)</f>
        <v>0</v>
      </c>
      <c r="D78" s="47">
        <f>IF($J$6&gt;2,IF($U$1&lt;&gt;0,IF(O78*(1+$O$6)^2&lt;=$U$1,O78*L78*(1+$O$6)^2,$U$1*L78),O78*L78*(1+$O$6)^2),0)</f>
        <v>0</v>
      </c>
      <c r="E78" s="47">
        <f>IF($J$6&gt;3,IF($U$1&lt;&gt;0,IF(O78*(1+$O$6)^3&lt;=$U$1,O78*M78*(1+$O$6)^3,$U$1*M78),O78*M78*(1+$O$6)^3),0)</f>
        <v>0</v>
      </c>
      <c r="F78" s="47">
        <f>IF($J$6&gt;4,IF($U$1&lt;&gt;0,IF(O78*(1+$O$6)^4&lt;=$U$1,O78*N78*(1+$O$6)^4,$U$1*N78),O78*N78*(1+$O$6)^4),0)</f>
        <v>0</v>
      </c>
      <c r="G78" s="46">
        <f>SUM(B78:F78)</f>
        <v>0</v>
      </c>
      <c r="H78" s="14"/>
      <c r="I78" s="89" t="s">
        <v>26</v>
      </c>
      <c r="J78" s="241">
        <v>0</v>
      </c>
      <c r="K78" s="241">
        <f>IF($J$6&gt;1,J78,0)</f>
        <v>0</v>
      </c>
      <c r="L78" s="241">
        <f>IF($J$6&gt;2,K78,0)</f>
        <v>0</v>
      </c>
      <c r="M78" s="241">
        <f>IF($J$6&gt;3,L78,0)</f>
        <v>0</v>
      </c>
      <c r="N78" s="241">
        <f>IF($J$6&gt;4,M78,0)</f>
        <v>0</v>
      </c>
      <c r="O78" s="146">
        <f>IF($U$2&lt;&gt;0,IF(T79&lt;$U$2,$U$2,T79),T79)</f>
        <v>56484</v>
      </c>
      <c r="P78" s="135" t="e">
        <f>SUM(J77:N77)/(ROUNDUP($J$6,0)*12)</f>
        <v>#DIV/0!</v>
      </c>
      <c r="Q78" s="136" t="e">
        <f>(SUM(J77:N77)/(CEILING($J$6*12,12)))*12</f>
        <v>#DIV/0!</v>
      </c>
      <c r="T78" s="2"/>
      <c r="V78" s="247"/>
    </row>
    <row r="79" spans="1:23" hidden="1" outlineLevel="1" x14ac:dyDescent="0.25">
      <c r="B79" s="47"/>
      <c r="C79" s="47"/>
      <c r="D79" s="47"/>
      <c r="E79" s="47"/>
      <c r="F79" s="47"/>
      <c r="G79" s="46"/>
      <c r="H79" s="14"/>
      <c r="I79" s="149" t="s">
        <v>111</v>
      </c>
      <c r="J79" s="167">
        <f>B78*$V79</f>
        <v>0</v>
      </c>
      <c r="K79" s="167">
        <f t="shared" ref="K79:L79" si="45">C78*$V79</f>
        <v>0</v>
      </c>
      <c r="L79" s="167">
        <f t="shared" si="45"/>
        <v>0</v>
      </c>
      <c r="M79" s="167">
        <f>E78*$V79</f>
        <v>0</v>
      </c>
      <c r="N79" s="167">
        <f t="shared" ref="N79" si="46">F78*$V79</f>
        <v>0</v>
      </c>
      <c r="O79" s="21"/>
      <c r="P79" s="248"/>
      <c r="Q79" s="137"/>
      <c r="T79" s="243"/>
      <c r="U79" s="154" t="s">
        <v>127</v>
      </c>
      <c r="V79" s="244"/>
      <c r="W79" s="155"/>
    </row>
    <row r="80" spans="1:23" outlineLevel="1" x14ac:dyDescent="0.25">
      <c r="B80" s="47"/>
      <c r="C80" s="47"/>
      <c r="D80" s="48"/>
      <c r="E80" s="48"/>
      <c r="F80" s="48"/>
      <c r="G80" s="46"/>
      <c r="H80" s="14"/>
      <c r="I80" s="45" t="s">
        <v>48</v>
      </c>
      <c r="J80" s="88" t="b">
        <f>IF(J82&gt;0%,IF(J82&lt;50%,IF(J82&gt;0,($U$3/2),0),$U$3),IF(J83&gt;0%,IF(J83&lt;50%,IF(J83&gt;0,($U$3/2),0),$U$3)))</f>
        <v>0</v>
      </c>
      <c r="K80" s="88" t="b">
        <f>IF(K82&gt;0%,IF(K82&lt;50%,IF(K82&gt;0,(($U$3*(1+$V$3))/2),0),($U$3*(1+$V$3))),IF(K83&gt;0%,IF(K83&lt;50%,IF(K83&gt;0,(($U$3*(1+$V$3))/2),0),($U$3*(1+$V$3)))))</f>
        <v>0</v>
      </c>
      <c r="L80" s="88" t="b">
        <f>IF(L82&gt;0%,IF(L82&lt;50%,IF(L82&gt;0,(($U$3*(1+$V$3)^2)/2),0),($U$3*(1+$V$3)^2)),IF(L83&gt;0%,IF(L83&lt;50%,IF(L83&gt;0,(($U$3*(1+$V$3)^2)/2),0),($U$3*(1+$V$3)^2))))</f>
        <v>0</v>
      </c>
      <c r="M80" s="88" t="b">
        <f>IF(M82&gt;0%,IF(M82&lt;50%,IF(M82&gt;0,(($U$3*(1+$V$3)^3)/2),0),($U$3*(1+$V$3)^3)),IF(M83&gt;0%,IF(M83&lt;50%,IF(M83&gt;0,(($U$3*(1+$V$3)^3)/2),0),($U$3*(1+$V$3)^3))))</f>
        <v>0</v>
      </c>
      <c r="N80" s="88" t="b">
        <f>IF(N82&gt;0%,IF(N82&lt;50%,IF(N82&gt;0,(($U$3*(1+$V$3)^4)/2),0),($U$3*(1+$V$3)^4)),IF(N83&gt;0%,IF(N83&lt;50%,IF(N83&gt;0,(($U$3*(1+$V$3)^4)/2),0),($U$3*(1+$V$3)^4))))</f>
        <v>0</v>
      </c>
      <c r="O80" s="41" t="s">
        <v>51</v>
      </c>
      <c r="P80" s="134"/>
      <c r="Q80" s="134"/>
      <c r="V80" s="249"/>
      <c r="W80" s="1"/>
    </row>
    <row r="81" spans="1:23" outlineLevel="1" x14ac:dyDescent="0.25">
      <c r="A81" s="22" t="s">
        <v>85</v>
      </c>
      <c r="B81" s="47"/>
      <c r="C81" s="47"/>
      <c r="D81" s="48"/>
      <c r="E81" s="48"/>
      <c r="F81" s="48"/>
      <c r="G81" s="46"/>
      <c r="H81" s="14"/>
      <c r="I81" s="89" t="s">
        <v>132</v>
      </c>
      <c r="J81" s="166">
        <f>IF($U85="F",J82*12,SUM(J83*9,J84))</f>
        <v>0</v>
      </c>
      <c r="K81" s="166">
        <f>IF($U85="F",K82*12,SUM(K83*9,K84))</f>
        <v>0</v>
      </c>
      <c r="L81" s="166">
        <f>IF($U85="F",L82*12,SUM(L83*9,L84))</f>
        <v>0</v>
      </c>
      <c r="M81" s="166">
        <f>IF($U85="F",M82*12,SUM(M83*9,M84))</f>
        <v>0</v>
      </c>
      <c r="N81" s="166">
        <f>IF($U85="F",N82*12,SUM(N83*9,N84))</f>
        <v>0</v>
      </c>
      <c r="O81" s="41"/>
      <c r="P81" s="134" t="s">
        <v>130</v>
      </c>
      <c r="Q81" s="134" t="s">
        <v>131</v>
      </c>
      <c r="V81" s="250"/>
      <c r="W81" s="1"/>
    </row>
    <row r="82" spans="1:23" outlineLevel="1" x14ac:dyDescent="0.25">
      <c r="A82" s="13" t="e">
        <f>ROUND(P82*100, 2)&amp;"% Avg. Fiscal Effort, "&amp;ROUND(Q82, 2)&amp;" Avg. Calendar Months"</f>
        <v>#DIV/0!</v>
      </c>
      <c r="B82" s="47">
        <f>O82*J82</f>
        <v>0</v>
      </c>
      <c r="C82" s="47">
        <f>IF($J$6&gt;1,IF($U$1&lt;&gt;0,IF(O82*(1+$O$6)&lt;=$U$1,O82*K82*(1+$O$6),$U$1*K82),O82*K82*(1+$O$6)),0)</f>
        <v>0</v>
      </c>
      <c r="D82" s="47">
        <f>IF($J$6&gt;2,IF($U$1&lt;&gt;0,IF(O82*(1+$O$6)^2&lt;=$U$1,O82*L82*(1+$O$6)^2,$U$1*L82),O82*L82*(1+$O$6)^2),0)</f>
        <v>0</v>
      </c>
      <c r="E82" s="47">
        <f>IF($J$6&gt;3,IF($U$1&lt;&gt;0,IF(O82*(1+$O$6)^3&lt;=$U$1,O82*M82*(1+$O$6)^3,$U$1*M82),O82*M82*(1+$O$6)^3),0)</f>
        <v>0</v>
      </c>
      <c r="F82" s="47">
        <f>IF($J$6&gt;4,IF($U$1&lt;&gt;0,IF(O82*(1+$O$6)^4&lt;=$U$1,O82*N82*(1+$O$6)^4,$U$1*N82),O82*N82*(1+$O$6)^4),0)</f>
        <v>0</v>
      </c>
      <c r="G82" s="46">
        <f>SUM(B82:F82)</f>
        <v>0</v>
      </c>
      <c r="H82" s="14"/>
      <c r="I82" s="89" t="s">
        <v>26</v>
      </c>
      <c r="J82" s="241">
        <v>0</v>
      </c>
      <c r="K82" s="241">
        <f>IF($J$6&gt;1,J82,0)</f>
        <v>0</v>
      </c>
      <c r="L82" s="241">
        <f>IF($J$6&gt;2,K82,0)</f>
        <v>0</v>
      </c>
      <c r="M82" s="241">
        <f>IF($J$6&gt;3,L82,0)</f>
        <v>0</v>
      </c>
      <c r="N82" s="241">
        <f>IF($J$6&gt;4,M82,0)</f>
        <v>0</v>
      </c>
      <c r="O82" s="128">
        <f>IF(U85="F",IF($U$1&lt;&gt;0,IF(T85&gt;$U$1,$U$1,T85),T85),0)</f>
        <v>0</v>
      </c>
      <c r="P82" s="135" t="e">
        <f>SUM(J81:N81)/(ROUNDUP($J$6,0)*12)</f>
        <v>#DIV/0!</v>
      </c>
      <c r="Q82" s="136" t="e">
        <f>(SUM(J81:N81)/(CEILING($J$6*12,12)))*12</f>
        <v>#DIV/0!</v>
      </c>
      <c r="T82" s="78"/>
      <c r="V82" s="247"/>
      <c r="W82" s="1"/>
    </row>
    <row r="83" spans="1:23" ht="17.850000000000001" customHeight="1" outlineLevel="1" x14ac:dyDescent="0.25">
      <c r="A83" s="376" t="e">
        <f>ROUND(P82*100,2)&amp;"% Annualized Effort, "&amp;ROUND(Q83,2)&amp;" Avg. Academic Months
"&amp;IF(SUM(J84:N84)&gt;0," and "&amp;Q84 &amp;" Avg. Summer Months", "")</f>
        <v>#DIV/0!</v>
      </c>
      <c r="B83" s="47">
        <f>J83*O83</f>
        <v>0</v>
      </c>
      <c r="C83" s="47">
        <f>IF($J$6&gt;1,IF($U$1&lt;&gt;0,IF(O83*(1+$O$6)&lt;=$U$1*0.75,O83*K83*(1+$O$6),$U$1*0.75*K83),O83*K83*(1+$O$6)),0)</f>
        <v>0</v>
      </c>
      <c r="D83" s="47">
        <f>IF($J$6&gt;2,IF($U$1&lt;&gt;0,IF(O83*(1+$O$6)^2&lt;=$U$1*0.75,O83*L83*(1+$O$6)^2,$U$1*0.75*L83),O83*L83*(1+$O$6)^2),0)</f>
        <v>0</v>
      </c>
      <c r="E83" s="47">
        <f>IF($J$6&gt;3,IF($U$1&lt;&gt;0,IF(O83*(1+$O$6)^3&lt;=$U$1*0.75,O83*M83*(1+$O$6)^3,$U$1*0.75*M83),O83*M83*(1+$O$6)^3),0)</f>
        <v>0</v>
      </c>
      <c r="F83" s="47">
        <f>IF($J$6&gt;4,IF($U$1&lt;&gt;0,IF(O83*(1+$O$6)^4&lt;=$U$1*0.75,O83*N83*(1+$O$6)^4,$U$1*0.75*N83),O83*N83*(1+$O$6)^4),0)</f>
        <v>0</v>
      </c>
      <c r="G83" s="46">
        <f>SUM(B83:F83)</f>
        <v>0</v>
      </c>
      <c r="H83" s="14"/>
      <c r="I83" s="89" t="s">
        <v>15</v>
      </c>
      <c r="J83" s="241">
        <v>0</v>
      </c>
      <c r="K83" s="241">
        <f t="shared" ref="K83:K84" si="47">IF($J$6&gt;1,J83,0)</f>
        <v>0</v>
      </c>
      <c r="L83" s="241">
        <f t="shared" ref="L83:L84" si="48">IF($J$6&gt;2,K83,0)</f>
        <v>0</v>
      </c>
      <c r="M83" s="241">
        <f t="shared" ref="M83:M84" si="49">IF($J$6&gt;3,L83,0)</f>
        <v>0</v>
      </c>
      <c r="N83" s="241">
        <f t="shared" ref="N83:N84" si="50">IF($J$6&gt;4,M83,0)</f>
        <v>0</v>
      </c>
      <c r="O83" s="128">
        <f>IF(U85="A",IF($U$1&lt;&gt;0,IF(T85&gt;($U$1/12*9),($U$1/12*9),T85),T85),0)</f>
        <v>0</v>
      </c>
      <c r="P83" s="248"/>
      <c r="Q83" s="137" t="e">
        <f>((SUM(J81:N81)-SUM(J84:N84))/(CEILING($J$6*9,9)))*9</f>
        <v>#DIV/0!</v>
      </c>
      <c r="R83" s="12"/>
      <c r="S83" s="12"/>
      <c r="T83" s="78"/>
      <c r="V83" s="247"/>
      <c r="W83" s="1"/>
    </row>
    <row r="84" spans="1:23" outlineLevel="1" x14ac:dyDescent="0.25">
      <c r="A84" s="376"/>
      <c r="B84" s="47">
        <f>J84/3*O84</f>
        <v>0</v>
      </c>
      <c r="C84" s="47">
        <f>IF($J$6&gt;1,IF($U$1&lt;&gt;0,IF(O84*(1+$O$6)&lt;=$U$1*0.25,O84*K84/3*(1+$O$6),$U$1*0.25*K84/3),O84*K84/3*(1+$O$6)),0)</f>
        <v>0</v>
      </c>
      <c r="D84" s="47">
        <f>IF($J$6&gt;2,IF($U$1&lt;&gt;0,IF(O84*(1+$O$6)^2&lt;=$U$1*0.25,O84*L84/3*(1+$O$6)^2,$U$1*0.25*L84/3),O84*L84/3*(1+$O$6)^2),0)</f>
        <v>0</v>
      </c>
      <c r="E84" s="47">
        <f>IF($J$6&gt;3,IF($U$1&lt;&gt;0,IF(O84*(1+$O$6)^3&lt;=$U$1*0.25,O84*M84/3*(1+$O$6)^3,$U$1*0.25*M84/3),O84*M84/3*(1+$O$6)^3),0)</f>
        <v>0</v>
      </c>
      <c r="F84" s="47">
        <f>IF($J$6&gt;4,IF($U$1&lt;&gt;0,IF(O84*(1+$O$6)^4&lt;=$U$1*0.25,O84*N84/3*(1+$O$6)^4,$U$1*0.25*N84/3),O84*N84/3*(1+$O$6)^4),0)</f>
        <v>0</v>
      </c>
      <c r="G84" s="46">
        <f>SUM(B84:F84)</f>
        <v>0</v>
      </c>
      <c r="H84" s="14"/>
      <c r="I84" s="89" t="s">
        <v>17</v>
      </c>
      <c r="J84" s="242">
        <v>0</v>
      </c>
      <c r="K84" s="242">
        <f t="shared" si="47"/>
        <v>0</v>
      </c>
      <c r="L84" s="242">
        <f t="shared" si="48"/>
        <v>0</v>
      </c>
      <c r="M84" s="242">
        <f t="shared" si="49"/>
        <v>0</v>
      </c>
      <c r="N84" s="242">
        <f t="shared" si="50"/>
        <v>0</v>
      </c>
      <c r="O84" s="128">
        <f>O83*0.000731*456</f>
        <v>0</v>
      </c>
      <c r="P84" s="138"/>
      <c r="Q84" s="138" t="e">
        <f>((SUM(J81:N81)-SUM(J83:N83)*9)/(CEILING($J$6*3,3)))*3</f>
        <v>#DIV/0!</v>
      </c>
      <c r="R84" s="12"/>
      <c r="S84" s="12"/>
      <c r="V84" s="247"/>
      <c r="W84" s="1"/>
    </row>
    <row r="85" spans="1:23" outlineLevel="1" x14ac:dyDescent="0.25">
      <c r="A85" s="13"/>
      <c r="B85" s="47"/>
      <c r="C85" s="47"/>
      <c r="D85" s="47"/>
      <c r="E85" s="47"/>
      <c r="F85" s="47"/>
      <c r="G85" s="46"/>
      <c r="H85" s="14"/>
      <c r="I85" s="149" t="s">
        <v>111</v>
      </c>
      <c r="J85" s="148">
        <f>SUM(B82:B84)*$V85</f>
        <v>0</v>
      </c>
      <c r="K85" s="148">
        <f t="shared" ref="K85:N85" si="51">SUM(C82:C84)*$V85</f>
        <v>0</v>
      </c>
      <c r="L85" s="148">
        <f t="shared" si="51"/>
        <v>0</v>
      </c>
      <c r="M85" s="148">
        <f t="shared" si="51"/>
        <v>0</v>
      </c>
      <c r="N85" s="148">
        <f t="shared" si="51"/>
        <v>0</v>
      </c>
      <c r="O85" s="147"/>
      <c r="P85" s="138"/>
      <c r="Q85" s="138"/>
      <c r="R85" s="12"/>
      <c r="S85" s="12"/>
      <c r="T85" s="243"/>
      <c r="U85" s="154"/>
      <c r="V85" s="244"/>
      <c r="W85" s="156"/>
    </row>
    <row r="86" spans="1:23" outlineLevel="1" x14ac:dyDescent="0.25">
      <c r="B86" s="47"/>
      <c r="C86" s="47"/>
      <c r="D86" s="48"/>
      <c r="E86" s="48"/>
      <c r="F86" s="48"/>
      <c r="G86" s="46"/>
      <c r="H86" s="14"/>
      <c r="I86" s="45" t="s">
        <v>48</v>
      </c>
      <c r="J86" s="88" t="b">
        <f>IF(J88&gt;0%,IF(J88&lt;50%,IF(J88&gt;0,($U$3/2),0),$U$3),IF(J89&gt;0%,IF(J89&lt;50%,IF(J89&gt;0,($U$3/2),0),$U$3)))</f>
        <v>0</v>
      </c>
      <c r="K86" s="88" t="b">
        <f>IF(K88&gt;0%,IF(K88&lt;50%,IF(K88&gt;0,(($U$3*(1+$V$3))/2),0),($U$3*(1+$V$3))),IF(K89&gt;0%,IF(K89&lt;50%,IF(K89&gt;0,(($U$3*(1+$V$3))/2),0),($U$3*(1+$V$3)))))</f>
        <v>0</v>
      </c>
      <c r="L86" s="88" t="b">
        <f>IF(L88&gt;0%,IF(L88&lt;50%,IF(L88&gt;0,(($U$3*(1+$V$3)^2)/2),0),($U$3*(1+$V$3)^2)),IF(L89&gt;0%,IF(L89&lt;50%,IF(L89&gt;0,(($U$3*(1+$V$3)^2)/2),0),($U$3*(1+$V$3)^2))))</f>
        <v>0</v>
      </c>
      <c r="M86" s="88" t="b">
        <f>IF(M88&gt;0%,IF(M88&lt;50%,IF(M88&gt;0,(($U$3*(1+$V$3)^3)/2),0),($U$3*(1+$V$3)^3)),IF(M89&gt;0%,IF(M89&lt;50%,IF(M89&gt;0,(($U$3*(1+$V$3)^3)/2),0),($U$3*(1+$V$3)^3))))</f>
        <v>0</v>
      </c>
      <c r="N86" s="88" t="b">
        <f>IF(N88&gt;0%,IF(N88&lt;50%,IF(N88&gt;0,(($U$3*(1+$V$3)^4)/2),0),($U$3*(1+$V$3)^4)),IF(N89&gt;0%,IF(N89&lt;50%,IF(N89&gt;0,(($U$3*(1+$V$3)^4)/2),0),($U$3*(1+$V$3)^4))))</f>
        <v>0</v>
      </c>
      <c r="O86" s="41" t="s">
        <v>51</v>
      </c>
      <c r="P86" s="134"/>
      <c r="Q86" s="134"/>
      <c r="U86" s="1"/>
      <c r="V86" s="249"/>
      <c r="W86" s="1"/>
    </row>
    <row r="87" spans="1:23" outlineLevel="1" x14ac:dyDescent="0.25">
      <c r="A87" s="22" t="s">
        <v>85</v>
      </c>
      <c r="B87" s="47"/>
      <c r="C87" s="47"/>
      <c r="D87" s="48"/>
      <c r="E87" s="48"/>
      <c r="F87" s="48"/>
      <c r="G87" s="46"/>
      <c r="H87" s="14"/>
      <c r="I87" s="89" t="s">
        <v>132</v>
      </c>
      <c r="J87" s="166">
        <f>IF($U91="F",J88*12,SUM(J89*9,J90))</f>
        <v>0</v>
      </c>
      <c r="K87" s="166">
        <f>IF($U91="F",K88*12,SUM(K89*9,K90))</f>
        <v>0</v>
      </c>
      <c r="L87" s="166">
        <f>IF($U91="F",L88*12,SUM(L89*9,L90))</f>
        <v>0</v>
      </c>
      <c r="M87" s="166">
        <f>IF($U91="F",M88*12,SUM(M89*9,M90))</f>
        <v>0</v>
      </c>
      <c r="N87" s="166">
        <f>IF($U91="F",N88*12,SUM(N89*9,N90))</f>
        <v>0</v>
      </c>
      <c r="O87" s="41"/>
      <c r="P87" s="134" t="s">
        <v>130</v>
      </c>
      <c r="Q87" s="134" t="s">
        <v>131</v>
      </c>
      <c r="V87" s="249"/>
      <c r="W87" s="1"/>
    </row>
    <row r="88" spans="1:23" outlineLevel="1" x14ac:dyDescent="0.25">
      <c r="A88" s="13" t="e">
        <f>ROUND(P88*100, 2)&amp;"% Avg. Fiscal Effort, "&amp;ROUND(Q88, 2)&amp;" Avg. Calendar Months"</f>
        <v>#DIV/0!</v>
      </c>
      <c r="B88" s="47">
        <f>O88*J88</f>
        <v>0</v>
      </c>
      <c r="C88" s="47">
        <f>IF($J$6&gt;1,IF($U$1&lt;&gt;0,IF(O88*(1+$O$6)&lt;=$U$1,O88*K88*(1+$O$6),$U$1*K88),O88*K88*(1+$O$6)),0)</f>
        <v>0</v>
      </c>
      <c r="D88" s="47">
        <f>IF($J$6&gt;2,IF($U$1&lt;&gt;0,IF(O88*(1+$O$6)^2&lt;=$U$1,O88*L88*(1+$O$6)^2,$U$1*L88),O88*L88*(1+$O$6)^2),0)</f>
        <v>0</v>
      </c>
      <c r="E88" s="47">
        <f>IF($J$6&gt;3,IF($U$1&lt;&gt;0,IF(O88*(1+$O$6)^3&lt;=$U$1,O88*M88*(1+$O$6)^3,$U$1*M88),O88*M88*(1+$O$6)^3),0)</f>
        <v>0</v>
      </c>
      <c r="F88" s="47">
        <f>IF($J$6&gt;4,IF($U$1&lt;&gt;0,IF(O88*(1+$O$6)^4&lt;=$U$1,O88*N88*(1+$O$6)^4,$U$1*N88),O88*N88*(1+$O$6)^4),0)</f>
        <v>0</v>
      </c>
      <c r="G88" s="46">
        <f>SUM(B88:F88)</f>
        <v>0</v>
      </c>
      <c r="H88" s="14"/>
      <c r="I88" s="89" t="s">
        <v>26</v>
      </c>
      <c r="J88" s="241">
        <v>0</v>
      </c>
      <c r="K88" s="241">
        <f>IF($J$6&gt;1,J88,0)</f>
        <v>0</v>
      </c>
      <c r="L88" s="241">
        <f>IF($J$6&gt;2,K88,0)</f>
        <v>0</v>
      </c>
      <c r="M88" s="241">
        <f>IF($J$6&gt;3,L88,0)</f>
        <v>0</v>
      </c>
      <c r="N88" s="241">
        <f>IF($J$6&gt;4,M88,0)</f>
        <v>0</v>
      </c>
      <c r="O88" s="128">
        <f>IF(U91="F",IF($U$1&lt;&gt;0,IF(T91&gt;$U$1,$U$1,T91),T91),0)</f>
        <v>0</v>
      </c>
      <c r="P88" s="135" t="e">
        <f>SUM(J87:N87)/(ROUNDUP($J$6,0)*12)</f>
        <v>#DIV/0!</v>
      </c>
      <c r="Q88" s="136" t="e">
        <f>(SUM(J87:N87)/(CEILING($J$6*12,12)))*12</f>
        <v>#DIV/0!</v>
      </c>
      <c r="T88" s="78"/>
      <c r="V88" s="247"/>
      <c r="W88" s="1"/>
    </row>
    <row r="89" spans="1:23" ht="17.850000000000001" customHeight="1" outlineLevel="1" x14ac:dyDescent="0.25">
      <c r="A89" s="376" t="e">
        <f>ROUND(P88*100,2)&amp;"% Annualized Effort, "&amp;ROUND(Q89,2)&amp;" Avg. Academic Months
"&amp;IF(SUM(J90:N90)&gt;0," and "&amp;Q90 &amp;" Avg. Summer Months", "")</f>
        <v>#DIV/0!</v>
      </c>
      <c r="B89" s="47">
        <f>J89*O89</f>
        <v>0</v>
      </c>
      <c r="C89" s="47">
        <f>IF($J$6&gt;1,IF($U$1&lt;&gt;0,IF(O89*(1+$O$6)&lt;=$U$1*0.75,O89*K89*(1+$O$6),$U$1*0.75*K89),O89*K89*(1+$O$6)),0)</f>
        <v>0</v>
      </c>
      <c r="D89" s="47">
        <f>IF($J$6&gt;2,IF($U$1&lt;&gt;0,IF(O89*(1+$O$6)^2&lt;=$U$1*0.75,O89*L89*(1+$O$6)^2,$U$1*0.75*L89),O89*L89*(1+$O$6)^2),0)</f>
        <v>0</v>
      </c>
      <c r="E89" s="47">
        <f>IF($J$6&gt;3,IF($U$1&lt;&gt;0,IF(O89*(1+$O$6)^3&lt;=$U$1*0.75,O89*M89*(1+$O$6)^3,$U$1*0.75*M89),O89*M89*(1+$O$6)^3),0)</f>
        <v>0</v>
      </c>
      <c r="F89" s="47">
        <f>IF($J$6&gt;4,IF($U$1&lt;&gt;0,IF(O89*(1+$O$6)^4&lt;=$U$1*0.75,O89*N89*(1+$O$6)^4,$U$1*0.75*N89),O89*N89*(1+$O$6)^4),0)</f>
        <v>0</v>
      </c>
      <c r="G89" s="46">
        <f>SUM(B89:F89)</f>
        <v>0</v>
      </c>
      <c r="H89" s="14"/>
      <c r="I89" s="89" t="s">
        <v>15</v>
      </c>
      <c r="J89" s="241">
        <v>0</v>
      </c>
      <c r="K89" s="241">
        <f t="shared" ref="K89:K90" si="52">IF($J$6&gt;1,J89,0)</f>
        <v>0</v>
      </c>
      <c r="L89" s="241">
        <f t="shared" ref="L89:L90" si="53">IF($J$6&gt;2,K89,0)</f>
        <v>0</v>
      </c>
      <c r="M89" s="241">
        <f t="shared" ref="M89:M90" si="54">IF($J$6&gt;3,L89,0)</f>
        <v>0</v>
      </c>
      <c r="N89" s="241">
        <f t="shared" ref="N89:N90" si="55">IF($J$6&gt;4,M89,0)</f>
        <v>0</v>
      </c>
      <c r="O89" s="128">
        <f>IF(U91="A",IF($U$1&lt;&gt;0,IF(T91&gt;($U$1/12*9),($U$1/12*9),T91),T91),0)</f>
        <v>0</v>
      </c>
      <c r="P89" s="248"/>
      <c r="Q89" s="137" t="e">
        <f>((SUM(J87:N87)-SUM(J90:N90))/(CEILING($J$6*9,9)))*9</f>
        <v>#DIV/0!</v>
      </c>
      <c r="R89" s="12"/>
      <c r="S89" s="12"/>
      <c r="T89" s="78"/>
      <c r="V89" s="247"/>
      <c r="W89" s="1"/>
    </row>
    <row r="90" spans="1:23" outlineLevel="1" x14ac:dyDescent="0.25">
      <c r="A90" s="376"/>
      <c r="B90" s="47">
        <f>J90/3*O90</f>
        <v>0</v>
      </c>
      <c r="C90" s="47">
        <f>IF($J$6&gt;1,IF($U$1&lt;&gt;0,IF(O90*(1+$O$6)&lt;=$U$1*0.25,O90*K90/3*(1+$O$6),$U$1*0.25*K90/3),O90*K90/3*(1+$O$6)),0)</f>
        <v>0</v>
      </c>
      <c r="D90" s="47">
        <f>IF($J$6&gt;2,IF($U$1&lt;&gt;0,IF(O90*(1+$O$6)^2&lt;=$U$1*0.25,O90*L90/3*(1+$O$6)^2,$U$1*0.25*L90/3),O90*L90/3*(1+$O$6)^2),0)</f>
        <v>0</v>
      </c>
      <c r="E90" s="47">
        <f>IF($J$6&gt;3,IF($U$1&lt;&gt;0,IF(O90*(1+$O$6)^3&lt;=$U$1*0.25,O90*M90/3*(1+$O$6)^3,$U$1*0.25*M90/3),O90*M90/3*(1+$O$6)^3),0)</f>
        <v>0</v>
      </c>
      <c r="F90" s="47">
        <f>IF($J$6&gt;4,IF($U$1&lt;&gt;0,IF(O90*(1+$O$6)^4&lt;=$U$1*0.25,O90*N90/3*(1+$O$6)^4,$U$1*0.25*N90/3),O90*N90/3*(1+$O$6)^4),0)</f>
        <v>0</v>
      </c>
      <c r="G90" s="46">
        <f>SUM(B90:F90)</f>
        <v>0</v>
      </c>
      <c r="H90" s="14"/>
      <c r="I90" s="89" t="s">
        <v>17</v>
      </c>
      <c r="J90" s="242">
        <v>0</v>
      </c>
      <c r="K90" s="242">
        <f t="shared" si="52"/>
        <v>0</v>
      </c>
      <c r="L90" s="242">
        <f t="shared" si="53"/>
        <v>0</v>
      </c>
      <c r="M90" s="242">
        <f t="shared" si="54"/>
        <v>0</v>
      </c>
      <c r="N90" s="242">
        <f t="shared" si="55"/>
        <v>0</v>
      </c>
      <c r="O90" s="128">
        <f>O89*0.000731*456</f>
        <v>0</v>
      </c>
      <c r="P90" s="138"/>
      <c r="Q90" s="138" t="e">
        <f>((SUM(J87:N87)-SUM(J89:N89)*9)/(CEILING($J$6*3,3)))*3</f>
        <v>#DIV/0!</v>
      </c>
      <c r="R90" s="12"/>
      <c r="S90" s="12"/>
      <c r="V90" s="247"/>
      <c r="W90" s="1"/>
    </row>
    <row r="91" spans="1:23" outlineLevel="1" x14ac:dyDescent="0.25">
      <c r="A91" s="13"/>
      <c r="B91" s="47"/>
      <c r="C91" s="47"/>
      <c r="D91" s="47"/>
      <c r="E91" s="47"/>
      <c r="F91" s="47"/>
      <c r="G91" s="46"/>
      <c r="H91" s="14"/>
      <c r="I91" s="149" t="s">
        <v>111</v>
      </c>
      <c r="J91" s="148">
        <f>SUM(B88:B90)*$V91</f>
        <v>0</v>
      </c>
      <c r="K91" s="148">
        <f t="shared" ref="K91" si="56">SUM(C88:C90)*$V91</f>
        <v>0</v>
      </c>
      <c r="L91" s="148">
        <f t="shared" ref="L91" si="57">SUM(D88:D90)*$V91</f>
        <v>0</v>
      </c>
      <c r="M91" s="148">
        <f t="shared" ref="M91:N91" si="58">SUM(E88:E90)*$V91</f>
        <v>0</v>
      </c>
      <c r="N91" s="148">
        <f t="shared" si="58"/>
        <v>0</v>
      </c>
      <c r="O91" s="147"/>
      <c r="P91" s="138"/>
      <c r="Q91" s="138"/>
      <c r="R91" s="12"/>
      <c r="S91" s="12"/>
      <c r="T91" s="243"/>
      <c r="U91" s="154"/>
      <c r="V91" s="244"/>
      <c r="W91" s="156"/>
    </row>
    <row r="92" spans="1:23" ht="15.75" hidden="1" customHeight="1" outlineLevel="1" x14ac:dyDescent="0.25">
      <c r="B92" s="47"/>
      <c r="C92" s="47"/>
      <c r="D92" s="47"/>
      <c r="E92" s="47"/>
      <c r="F92" s="47"/>
      <c r="G92" s="46"/>
      <c r="H92" s="14"/>
      <c r="I92" s="45" t="s">
        <v>48</v>
      </c>
      <c r="J92" s="88" t="b">
        <f>IF(J94&gt;0%,IF(J94&lt;50%,IF(J94&gt;0,($U$3/2),0),$U$3),IF(J95&gt;0%,IF(J95&lt;50%,IF(J95&gt;0,($U$3/2),0),$U$3)))</f>
        <v>0</v>
      </c>
      <c r="K92" s="88" t="b">
        <f>IF(K94&gt;0%,IF(K94&lt;50%,IF(K94&gt;0,(($U$3*(1+$V$3))/2),0),($U$3*(1+$V$3))),IF(K95&gt;0%,IF(K95&lt;50%,IF(K95&gt;0,(($U$3*(1+$V$3))/2),0),($U$3*(1+$V$3)))))</f>
        <v>0</v>
      </c>
      <c r="L92" s="88" t="b">
        <f>IF(L94&gt;0%,IF(L94&lt;50%,IF(L94&gt;0,(($U$3*(1+$V$3)^2)/2),0),($U$3*(1+$V$3)^2)),IF(L95&gt;0%,IF(L95&lt;50%,IF(L95&gt;0,(($U$3*(1+$V$3)^2)/2),0),($U$3*(1+$V$3)^2))))</f>
        <v>0</v>
      </c>
      <c r="M92" s="88" t="b">
        <f>IF(M94&gt;0%,IF(M94&lt;50%,IF(M94&gt;0,(($U$3*(1+$V$3)^3)/2),0),($U$3*(1+$V$3)^3)),IF(M95&gt;0%,IF(M95&lt;50%,IF(M95&gt;0,(($U$3*(1+$V$3)^3)/2),0),($U$3*(1+$V$3)^3))))</f>
        <v>0</v>
      </c>
      <c r="N92" s="88" t="b">
        <f>IF(N94&gt;0%,IF(N94&lt;50%,IF(N94&gt;0,(($U$3*(1+$V$3)^4)/2),0),($U$3*(1+$V$3)^4)),IF(N95&gt;0%,IF(N95&lt;50%,IF(N95&gt;0,(($U$3*(1+$V$3)^4)/2),0),($U$3*(1+$V$3)^4))))</f>
        <v>0</v>
      </c>
      <c r="O92" s="41" t="s">
        <v>51</v>
      </c>
      <c r="P92" s="134"/>
      <c r="Q92" s="134"/>
      <c r="U92" s="1"/>
      <c r="V92" s="249"/>
      <c r="W92" s="1"/>
    </row>
    <row r="93" spans="1:23" ht="15.75" hidden="1" customHeight="1" outlineLevel="1" x14ac:dyDescent="0.25">
      <c r="A93" s="22" t="s">
        <v>85</v>
      </c>
      <c r="B93" s="47"/>
      <c r="C93" s="47"/>
      <c r="D93" s="47"/>
      <c r="E93" s="47"/>
      <c r="F93" s="47"/>
      <c r="G93" s="46"/>
      <c r="H93" s="14"/>
      <c r="I93" s="89" t="s">
        <v>132</v>
      </c>
      <c r="J93" s="166">
        <f>IF($U97="F",J94*12,SUM(J95*9,J96))</f>
        <v>0</v>
      </c>
      <c r="K93" s="166">
        <f>IF($U97="F",K94*12,SUM(K95*9,K96))</f>
        <v>0</v>
      </c>
      <c r="L93" s="166">
        <f>IF($U97="F",L94*12,SUM(L95*9,L96))</f>
        <v>0</v>
      </c>
      <c r="M93" s="166">
        <f>IF($U97="F",M94*12,SUM(M95*9,M96))</f>
        <v>0</v>
      </c>
      <c r="N93" s="166">
        <f>IF($U97="F",N94*12,SUM(N95*9,N96))</f>
        <v>0</v>
      </c>
      <c r="O93" s="41"/>
      <c r="P93" s="134" t="s">
        <v>130</v>
      </c>
      <c r="Q93" s="134" t="s">
        <v>131</v>
      </c>
      <c r="V93" s="249"/>
      <c r="W93" s="1"/>
    </row>
    <row r="94" spans="1:23" ht="15.75" hidden="1" customHeight="1" outlineLevel="1" x14ac:dyDescent="0.25">
      <c r="A94" s="13" t="e">
        <f>ROUND(P94*100, 2)&amp;"% Avg. Fiscal Effort, "&amp;ROUND(Q94, 2)&amp;" Avg. Calendar Months"</f>
        <v>#DIV/0!</v>
      </c>
      <c r="B94" s="47">
        <f>O94*J94</f>
        <v>0</v>
      </c>
      <c r="C94" s="47">
        <f>IF($J$6&gt;1,IF($U$1&lt;&gt;0,IF(O94*(1+$O$6)&lt;=$U$1,O94*K94*(1+$O$6),$U$1*K94),O94*K94*(1+$O$6)),0)</f>
        <v>0</v>
      </c>
      <c r="D94" s="47">
        <f>IF($J$6&gt;2,IF($U$1&lt;&gt;0,IF(O94*(1+$O$6)^2&lt;=$U$1,O94*L94*(1+$O$6)^2,$U$1*L94),O94*L94*(1+$O$6)^2),0)</f>
        <v>0</v>
      </c>
      <c r="E94" s="47">
        <f>IF($J$6&gt;3,IF($U$1&lt;&gt;0,IF(O94*(1+$O$6)^3&lt;=$U$1,O94*M94*(1+$O$6)^3,$U$1*M94),O94*M94*(1+$O$6)^3),0)</f>
        <v>0</v>
      </c>
      <c r="F94" s="47">
        <f>IF($J$6&gt;4,IF($U$1&lt;&gt;0,IF(O94*(1+$O$6)^4&lt;=$U$1,O94*N94*(1+$O$6)^4,$U$1*N94),O94*N94*(1+$O$6)^4),0)</f>
        <v>0</v>
      </c>
      <c r="G94" s="46">
        <f>SUM(B94:F94)</f>
        <v>0</v>
      </c>
      <c r="H94" s="14"/>
      <c r="I94" s="89" t="s">
        <v>26</v>
      </c>
      <c r="J94" s="16">
        <v>0</v>
      </c>
      <c r="K94" s="16">
        <f>IF($J$6&gt;1,J94,0)</f>
        <v>0</v>
      </c>
      <c r="L94" s="16">
        <f>IF($J$6&gt;2,K94,0)</f>
        <v>0</v>
      </c>
      <c r="M94" s="16">
        <f>IF($J$6&gt;3,L94,0)</f>
        <v>0</v>
      </c>
      <c r="N94" s="16">
        <f>IF($J$6&gt;4,M94,0)</f>
        <v>0</v>
      </c>
      <c r="O94" s="128">
        <f>IF(U97="F",IF($U$1&lt;&gt;0,IF(T97&gt;$U$1,$U$1,T97),T97),0)</f>
        <v>0</v>
      </c>
      <c r="P94" s="135" t="e">
        <f>SUM(J93:N93)/(ROUNDUP($J$6,0)*12)</f>
        <v>#DIV/0!</v>
      </c>
      <c r="Q94" s="136" t="e">
        <f>(SUM(J93:N93)/(CEILING($J$6*12,12)))*12</f>
        <v>#DIV/0!</v>
      </c>
      <c r="T94" s="78"/>
      <c r="V94" s="247"/>
      <c r="W94" s="1"/>
    </row>
    <row r="95" spans="1:23" ht="17.850000000000001" hidden="1" customHeight="1" outlineLevel="1" x14ac:dyDescent="0.25">
      <c r="A95" s="376" t="e">
        <f>ROUND(P94*100,2)&amp;"% Annualized Effort, "&amp;ROUND(Q95,2)&amp;" Avg. Academic Months
"&amp;IF(SUM(J96:N96)&gt;0," and "&amp;Q96 &amp;" Avg. Summer Months", "")</f>
        <v>#DIV/0!</v>
      </c>
      <c r="B95" s="47">
        <f>J95*O95</f>
        <v>0</v>
      </c>
      <c r="C95" s="47">
        <f>IF($J$6&gt;1,IF($U$1&lt;&gt;0,IF(O95*(1+$O$6)&lt;=$U$1*0.75,O95*K95*(1+$O$6),$U$1*0.75*K95),O95*K95*(1+$O$6)),0)</f>
        <v>0</v>
      </c>
      <c r="D95" s="47">
        <f>IF($J$6&gt;2,IF($U$1&lt;&gt;0,IF(O95*(1+$O$6)^2&lt;=$U$1*0.75,O95*L95*(1+$O$6)^2,$U$1*0.75*L95),O95*L95*(1+$O$6)^2),0)</f>
        <v>0</v>
      </c>
      <c r="E95" s="47">
        <f>IF($J$6&gt;3,IF($U$1&lt;&gt;0,IF(O95*(1+$O$6)^3&lt;=$U$1*0.75,O95*M95*(1+$O$6)^3,$U$1*0.75*M95),O95*M95*(1+$O$6)^3),0)</f>
        <v>0</v>
      </c>
      <c r="F95" s="47">
        <f>IF($J$6&gt;4,IF($U$1&lt;&gt;0,IF(O95*(1+$O$6)^4&lt;=$U$1*0.75,O95*N95*(1+$O$6)^4,$U$1*0.75*N95),O95*N95*(1+$O$6)^4),0)</f>
        <v>0</v>
      </c>
      <c r="G95" s="46">
        <f>SUM(B95:F95)</f>
        <v>0</v>
      </c>
      <c r="H95" s="14"/>
      <c r="I95" s="89" t="s">
        <v>15</v>
      </c>
      <c r="J95" s="16">
        <v>0</v>
      </c>
      <c r="K95" s="16">
        <f t="shared" ref="K95:K96" si="59">IF($J$6&gt;1,J95,0)</f>
        <v>0</v>
      </c>
      <c r="L95" s="16">
        <f t="shared" ref="L95:L96" si="60">IF($J$6&gt;2,K95,0)</f>
        <v>0</v>
      </c>
      <c r="M95" s="16">
        <f t="shared" ref="M95:M96" si="61">IF($J$6&gt;3,L95,0)</f>
        <v>0</v>
      </c>
      <c r="N95" s="16">
        <f t="shared" ref="N95:N96" si="62">IF($J$6&gt;4,M95,0)</f>
        <v>0</v>
      </c>
      <c r="O95" s="128">
        <f>IF(U97="A",IF($U$1&lt;&gt;0,IF(T97&gt;($U$1/12*9),($U$1/12*9),T97),T97),0)</f>
        <v>0</v>
      </c>
      <c r="P95" s="194"/>
      <c r="Q95" s="137" t="e">
        <f>((SUM(J93:N93)-SUM(J96:N96))/(CEILING($J$6*9,9)))*9</f>
        <v>#DIV/0!</v>
      </c>
      <c r="R95" s="12"/>
      <c r="S95" s="12"/>
      <c r="T95" s="78"/>
      <c r="V95" s="247"/>
      <c r="W95" s="1"/>
    </row>
    <row r="96" spans="1:23" ht="15.75" hidden="1" customHeight="1" outlineLevel="1" x14ac:dyDescent="0.25">
      <c r="A96" s="376"/>
      <c r="B96" s="47">
        <f>J96/3*O96</f>
        <v>0</v>
      </c>
      <c r="C96" s="47">
        <f>IF($J$6&gt;1,IF($U$1&lt;&gt;0,IF(O96*(1+$O$6)&lt;=$U$1*0.25,O96*K96/3*(1+$O$6),$U$1*0.25*K96/3),O96*K96/3*(1+$O$6)),0)</f>
        <v>0</v>
      </c>
      <c r="D96" s="47">
        <f>IF($J$6&gt;2,IF($U$1&lt;&gt;0,IF(O96*(1+$O$6)^2&lt;=$U$1*0.25,O96*L96/3*(1+$O$6)^2,$U$1*0.25*L96/3),O96*L96/3*(1+$O$6)^2),0)</f>
        <v>0</v>
      </c>
      <c r="E96" s="47">
        <f>IF($J$6&gt;3,IF($U$1&lt;&gt;0,IF(O96*(1+$O$6)^3&lt;=$U$1*0.25,O96*M96/3*(1+$O$6)^3,$U$1*0.25*M96/3),O96*M96/3*(1+$O$6)^3),0)</f>
        <v>0</v>
      </c>
      <c r="F96" s="47">
        <f>IF($J$6&gt;4,IF($U$1&lt;&gt;0,IF(O96*(1+$O$6)^4&lt;=$U$1*0.25,O96*N96/3*(1+$O$6)^4,$U$1*0.25*N96/3),O96*N96/3*(1+$O$6)^4),0)</f>
        <v>0</v>
      </c>
      <c r="G96" s="46">
        <f>SUM(B96:F96)</f>
        <v>0</v>
      </c>
      <c r="H96" s="14"/>
      <c r="I96" s="89" t="s">
        <v>17</v>
      </c>
      <c r="J96" s="15">
        <v>0</v>
      </c>
      <c r="K96" s="15">
        <f t="shared" si="59"/>
        <v>0</v>
      </c>
      <c r="L96" s="15">
        <f t="shared" si="60"/>
        <v>0</v>
      </c>
      <c r="M96" s="15">
        <f t="shared" si="61"/>
        <v>0</v>
      </c>
      <c r="N96" s="15">
        <f t="shared" si="62"/>
        <v>0</v>
      </c>
      <c r="O96" s="128">
        <f>IF(U97="A",IF($U$1&lt;&gt;0,IF(T97*0.00072*464&gt;($U$1/12*3),($U$1/12*3),T97*0.00072*464),T97*0.00072*464),0)</f>
        <v>0</v>
      </c>
      <c r="P96" s="138"/>
      <c r="Q96" s="138" t="e">
        <f>((SUM(J93:N93)-SUM(J95:N95)*9)/(CEILING($J$6*3,3)))*3</f>
        <v>#DIV/0!</v>
      </c>
      <c r="R96" s="12"/>
      <c r="S96" s="12"/>
      <c r="V96" s="247"/>
      <c r="W96" s="1"/>
    </row>
    <row r="97" spans="1:23" ht="15.75" hidden="1" customHeight="1" outlineLevel="1" x14ac:dyDescent="0.25">
      <c r="A97" s="13"/>
      <c r="B97" s="47"/>
      <c r="C97" s="47"/>
      <c r="D97" s="47"/>
      <c r="E97" s="47"/>
      <c r="F97" s="47"/>
      <c r="G97" s="46"/>
      <c r="H97" s="14"/>
      <c r="I97" s="149" t="s">
        <v>111</v>
      </c>
      <c r="J97" s="148">
        <f>SUM(B94:B96)*$V97</f>
        <v>0</v>
      </c>
      <c r="K97" s="148">
        <f t="shared" ref="K97" si="63">SUM(C94:C96)*$V97</f>
        <v>0</v>
      </c>
      <c r="L97" s="148">
        <f t="shared" ref="L97" si="64">SUM(D94:D96)*$V97</f>
        <v>0</v>
      </c>
      <c r="M97" s="148">
        <f t="shared" ref="M97:N97" si="65">SUM(E94:E96)*$V97</f>
        <v>0</v>
      </c>
      <c r="N97" s="148">
        <f t="shared" si="65"/>
        <v>0</v>
      </c>
      <c r="O97" s="147"/>
      <c r="P97" s="138"/>
      <c r="Q97" s="138"/>
      <c r="R97" s="12"/>
      <c r="S97" s="12"/>
      <c r="T97" s="151"/>
      <c r="U97" s="152"/>
      <c r="V97" s="245"/>
      <c r="W97" s="156"/>
    </row>
    <row r="98" spans="1:23" ht="15.75" hidden="1" customHeight="1" outlineLevel="1" x14ac:dyDescent="0.25">
      <c r="A98" s="13"/>
      <c r="B98" s="47"/>
      <c r="C98" s="47"/>
      <c r="D98" s="48"/>
      <c r="E98" s="48"/>
      <c r="F98" s="48"/>
      <c r="G98" s="46"/>
      <c r="H98" s="14"/>
      <c r="I98" s="34"/>
      <c r="J98" s="5" t="s">
        <v>6</v>
      </c>
      <c r="K98" s="5" t="s">
        <v>5</v>
      </c>
      <c r="L98" s="5" t="s">
        <v>7</v>
      </c>
      <c r="M98" s="5" t="s">
        <v>8</v>
      </c>
      <c r="N98" s="5" t="s">
        <v>9</v>
      </c>
      <c r="O98" s="43" t="s">
        <v>50</v>
      </c>
      <c r="P98" s="135"/>
      <c r="Q98" s="135"/>
      <c r="T98" s="5" t="s">
        <v>50</v>
      </c>
      <c r="U98" s="1"/>
      <c r="V98" s="251"/>
      <c r="W98" s="1"/>
    </row>
    <row r="99" spans="1:23" ht="15.75" hidden="1" customHeight="1" outlineLevel="1" x14ac:dyDescent="0.25">
      <c r="A99" s="22" t="s">
        <v>169</v>
      </c>
      <c r="B99" s="47"/>
      <c r="C99" s="47"/>
      <c r="D99" s="48"/>
      <c r="E99" s="48"/>
      <c r="F99" s="48"/>
      <c r="G99" s="46"/>
      <c r="H99" s="14"/>
      <c r="I99" s="4"/>
      <c r="J99" s="117"/>
      <c r="K99" s="117"/>
      <c r="L99" s="117"/>
      <c r="M99" s="117"/>
      <c r="N99" s="117"/>
      <c r="O99" s="150">
        <f>IF($U$4&lt;&gt;0,IF(T101&lt;$U$4,$U$4,T101),T101)</f>
        <v>14.5</v>
      </c>
      <c r="P99" s="135"/>
      <c r="Q99" s="135"/>
      <c r="T99" s="78"/>
      <c r="U99" s="1"/>
      <c r="V99" s="251"/>
      <c r="W99" s="1"/>
    </row>
    <row r="100" spans="1:23" ht="15.75" hidden="1" customHeight="1" outlineLevel="1" x14ac:dyDescent="0.25">
      <c r="A100" s="13" t="str">
        <f>J100&amp;" hours @ $"&amp;O99&amp;"/hour"</f>
        <v>0 hours @ $14.5/hour</v>
      </c>
      <c r="B100" s="47">
        <f>J100*O99</f>
        <v>0</v>
      </c>
      <c r="C100" s="47">
        <f>IF($J$6&gt;1,K100*$O99*(1+$O$6),0)</f>
        <v>0</v>
      </c>
      <c r="D100" s="47">
        <f>IF($J$6&gt;2,L100*$O99*(1+$O$6)^2,0)</f>
        <v>0</v>
      </c>
      <c r="E100" s="47">
        <f>IF($J$6&gt;3,M100*$O99*(1+$O$6)^3,0)</f>
        <v>0</v>
      </c>
      <c r="F100" s="47">
        <f>IF($J$6&gt;4,N100*$O99*(1+$O$6)^4,0)</f>
        <v>0</v>
      </c>
      <c r="G100" s="46">
        <f>SUM(B100:F100)</f>
        <v>0</v>
      </c>
      <c r="H100" s="14"/>
      <c r="I100" s="157" t="s">
        <v>56</v>
      </c>
      <c r="J100" s="23">
        <v>0</v>
      </c>
      <c r="K100" s="23">
        <f t="shared" ref="K100" si="66">IF($J$6&gt;1,J100,0)</f>
        <v>0</v>
      </c>
      <c r="L100" s="23">
        <f t="shared" ref="L100" si="67">IF($J$6&gt;2,K100,0)</f>
        <v>0</v>
      </c>
      <c r="M100" s="23">
        <f t="shared" ref="M100" si="68">IF($J$6&gt;3,L100,0)</f>
        <v>0</v>
      </c>
      <c r="N100" s="23">
        <f t="shared" ref="N100" si="69">IF($J$6&gt;4,M100,0)</f>
        <v>0</v>
      </c>
      <c r="O100" s="129"/>
      <c r="P100" s="135"/>
      <c r="Q100" s="135"/>
      <c r="U100" s="1"/>
      <c r="V100" s="1"/>
      <c r="W100" s="1"/>
    </row>
    <row r="101" spans="1:23" ht="15.75" hidden="1" customHeight="1" outlineLevel="1" x14ac:dyDescent="0.25">
      <c r="A101" s="13"/>
      <c r="B101" s="47"/>
      <c r="C101" s="47"/>
      <c r="D101" s="47"/>
      <c r="E101" s="47"/>
      <c r="F101" s="47"/>
      <c r="G101" s="46"/>
      <c r="H101" s="14"/>
      <c r="I101" s="149" t="s">
        <v>111</v>
      </c>
      <c r="J101" s="148">
        <f>B100*$V101</f>
        <v>0</v>
      </c>
      <c r="K101" s="148">
        <f t="shared" ref="K101:N101" si="70">C100*$V101</f>
        <v>0</v>
      </c>
      <c r="L101" s="148">
        <f t="shared" si="70"/>
        <v>0</v>
      </c>
      <c r="M101" s="148">
        <f t="shared" si="70"/>
        <v>0</v>
      </c>
      <c r="N101" s="148">
        <f t="shared" si="70"/>
        <v>0</v>
      </c>
      <c r="O101" s="21"/>
      <c r="P101" s="164"/>
      <c r="Q101" s="164"/>
      <c r="R101" s="156"/>
      <c r="S101" s="156"/>
      <c r="T101" s="165"/>
      <c r="U101" s="156"/>
      <c r="V101" s="245"/>
      <c r="W101" s="156"/>
    </row>
    <row r="102" spans="1:23" ht="15.75" hidden="1" customHeight="1" outlineLevel="1" x14ac:dyDescent="0.25">
      <c r="A102" s="13"/>
      <c r="B102" s="47"/>
      <c r="C102" s="47"/>
      <c r="D102" s="47"/>
      <c r="E102" s="47"/>
      <c r="F102" s="47"/>
      <c r="G102" s="46"/>
      <c r="H102" s="14"/>
      <c r="I102" s="34"/>
      <c r="J102" s="5" t="s">
        <v>6</v>
      </c>
      <c r="K102" s="5" t="s">
        <v>5</v>
      </c>
      <c r="L102" s="5" t="s">
        <v>7</v>
      </c>
      <c r="M102" s="5" t="s">
        <v>8</v>
      </c>
      <c r="N102" s="5" t="s">
        <v>9</v>
      </c>
      <c r="O102" s="43" t="s">
        <v>50</v>
      </c>
      <c r="P102" s="135"/>
      <c r="Q102" s="135"/>
      <c r="T102" s="5" t="s">
        <v>50</v>
      </c>
      <c r="U102" s="1"/>
      <c r="V102" s="251"/>
      <c r="W102" s="1"/>
    </row>
    <row r="103" spans="1:23" ht="15.75" hidden="1" customHeight="1" outlineLevel="1" x14ac:dyDescent="0.25">
      <c r="A103" s="22" t="s">
        <v>169</v>
      </c>
      <c r="B103" s="47"/>
      <c r="C103" s="47"/>
      <c r="D103" s="48"/>
      <c r="E103" s="48"/>
      <c r="F103" s="48"/>
      <c r="G103" s="46"/>
      <c r="H103" s="14"/>
      <c r="I103" s="4"/>
      <c r="J103" s="117"/>
      <c r="K103" s="117"/>
      <c r="L103" s="117"/>
      <c r="M103" s="117"/>
      <c r="N103" s="117"/>
      <c r="O103" s="150">
        <f>IF($U$4&lt;&gt;0,IF(T105&lt;$U$4,$U$4,T105),T105)</f>
        <v>14.5</v>
      </c>
      <c r="P103" s="135"/>
      <c r="Q103" s="135"/>
      <c r="T103" s="78"/>
      <c r="U103" s="1"/>
      <c r="V103" s="251"/>
      <c r="W103" s="1"/>
    </row>
    <row r="104" spans="1:23" ht="15.75" hidden="1" customHeight="1" outlineLevel="1" x14ac:dyDescent="0.25">
      <c r="A104" s="13" t="str">
        <f>J104&amp;" hours @ $"&amp;O103&amp;"/hour"</f>
        <v>0 hours @ $14.5/hour</v>
      </c>
      <c r="B104" s="47">
        <f>J104*O103</f>
        <v>0</v>
      </c>
      <c r="C104" s="47">
        <f>IF($J$6&gt;1,K104*$O103*(1+$O$6),0)</f>
        <v>0</v>
      </c>
      <c r="D104" s="47">
        <f>IF($J$6&gt;2,L104*$O103*(1+$O$6)^2,0)</f>
        <v>0</v>
      </c>
      <c r="E104" s="47">
        <f>IF($J$6&gt;3,M104*$O103*(1+$O$6)^3,0)</f>
        <v>0</v>
      </c>
      <c r="F104" s="47">
        <f>IF($J$6&gt;4,N104*$O103*(1+$O$6)^4,0)</f>
        <v>0</v>
      </c>
      <c r="G104" s="46">
        <f>SUM(B104:F104)</f>
        <v>0</v>
      </c>
      <c r="H104" s="14"/>
      <c r="I104" s="157" t="s">
        <v>56</v>
      </c>
      <c r="J104" s="23">
        <v>0</v>
      </c>
      <c r="K104" s="23">
        <f t="shared" ref="K104" si="71">IF($J$6&gt;1,J104,0)</f>
        <v>0</v>
      </c>
      <c r="L104" s="23">
        <f t="shared" ref="L104" si="72">IF($J$6&gt;2,K104,0)</f>
        <v>0</v>
      </c>
      <c r="M104" s="23">
        <f t="shared" ref="M104" si="73">IF($J$6&gt;3,L104,0)</f>
        <v>0</v>
      </c>
      <c r="N104" s="23">
        <f t="shared" ref="N104" si="74">IF($J$6&gt;4,M104,0)</f>
        <v>0</v>
      </c>
      <c r="O104" s="129"/>
      <c r="P104" s="135"/>
      <c r="Q104" s="135"/>
      <c r="U104" s="1"/>
      <c r="V104" s="1"/>
      <c r="W104" s="1"/>
    </row>
    <row r="105" spans="1:23" ht="15.75" hidden="1" customHeight="1" outlineLevel="1" x14ac:dyDescent="0.25">
      <c r="A105" s="13"/>
      <c r="B105" s="47"/>
      <c r="C105" s="47"/>
      <c r="D105" s="47"/>
      <c r="E105" s="47"/>
      <c r="F105" s="47"/>
      <c r="G105" s="46"/>
      <c r="H105" s="14"/>
      <c r="I105" s="149" t="s">
        <v>111</v>
      </c>
      <c r="J105" s="148">
        <f>B104*$V105</f>
        <v>0</v>
      </c>
      <c r="K105" s="148">
        <f t="shared" ref="K105:N105" si="75">C104*$V105</f>
        <v>0</v>
      </c>
      <c r="L105" s="148">
        <f t="shared" si="75"/>
        <v>0</v>
      </c>
      <c r="M105" s="148">
        <f t="shared" si="75"/>
        <v>0</v>
      </c>
      <c r="N105" s="148">
        <f t="shared" si="75"/>
        <v>0</v>
      </c>
      <c r="O105" s="21"/>
      <c r="P105" s="164"/>
      <c r="Q105" s="164"/>
      <c r="R105" s="156"/>
      <c r="S105" s="156"/>
      <c r="T105" s="165"/>
      <c r="U105" s="156"/>
      <c r="V105" s="245"/>
      <c r="W105" s="156"/>
    </row>
    <row r="106" spans="1:23" ht="15.75" hidden="1" customHeight="1" outlineLevel="1" x14ac:dyDescent="0.25">
      <c r="A106" s="13"/>
      <c r="B106" s="47"/>
      <c r="C106" s="47"/>
      <c r="D106" s="47"/>
      <c r="E106" s="47"/>
      <c r="F106" s="47"/>
      <c r="G106" s="46"/>
      <c r="H106" s="14"/>
      <c r="I106" s="34"/>
      <c r="J106" s="5" t="s">
        <v>6</v>
      </c>
      <c r="K106" s="5" t="s">
        <v>5</v>
      </c>
      <c r="L106" s="5" t="s">
        <v>7</v>
      </c>
      <c r="M106" s="5" t="s">
        <v>8</v>
      </c>
      <c r="N106" s="5" t="s">
        <v>9</v>
      </c>
      <c r="O106" s="43" t="s">
        <v>50</v>
      </c>
      <c r="P106" s="135"/>
      <c r="Q106" s="135"/>
      <c r="T106" s="5" t="s">
        <v>50</v>
      </c>
      <c r="U106" s="1"/>
      <c r="V106" s="251"/>
      <c r="W106" s="1"/>
    </row>
    <row r="107" spans="1:23" ht="15.75" hidden="1" customHeight="1" outlineLevel="1" x14ac:dyDescent="0.25">
      <c r="A107" s="22" t="s">
        <v>169</v>
      </c>
      <c r="B107" s="47"/>
      <c r="C107" s="47"/>
      <c r="D107" s="48"/>
      <c r="E107" s="48"/>
      <c r="F107" s="48"/>
      <c r="G107" s="46"/>
      <c r="H107" s="14"/>
      <c r="I107" s="4"/>
      <c r="J107" s="117"/>
      <c r="K107" s="117"/>
      <c r="L107" s="117"/>
      <c r="M107" s="117"/>
      <c r="N107" s="117"/>
      <c r="O107" s="150">
        <f>IF($U$4&lt;&gt;0,IF(T109&lt;$U$4,$U$4,T109),T109)</f>
        <v>14.5</v>
      </c>
      <c r="P107" s="135"/>
      <c r="Q107" s="135"/>
      <c r="T107" s="78"/>
      <c r="U107" s="1"/>
      <c r="V107" s="251"/>
      <c r="W107" s="1"/>
    </row>
    <row r="108" spans="1:23" ht="15.75" hidden="1" customHeight="1" outlineLevel="1" x14ac:dyDescent="0.25">
      <c r="A108" s="13" t="str">
        <f>J108&amp;" hours @ $"&amp;O107&amp;"/hour"</f>
        <v>0 hours @ $14.5/hour</v>
      </c>
      <c r="B108" s="47">
        <f>J108*O107</f>
        <v>0</v>
      </c>
      <c r="C108" s="47">
        <f>IF($J$6&gt;1,K108*$O107*(1+$O$6),0)</f>
        <v>0</v>
      </c>
      <c r="D108" s="47">
        <f>IF($J$6&gt;2,L108*$O107*(1+$O$6)^2,0)</f>
        <v>0</v>
      </c>
      <c r="E108" s="47">
        <f>IF($J$6&gt;3,M108*$O107*(1+$O$6)^3,0)</f>
        <v>0</v>
      </c>
      <c r="F108" s="47">
        <f>IF($J$6&gt;4,N108*$O107*(1+$O$6)^4,0)</f>
        <v>0</v>
      </c>
      <c r="G108" s="46">
        <f>SUM(B108:F108)</f>
        <v>0</v>
      </c>
      <c r="H108" s="14"/>
      <c r="I108" s="157" t="s">
        <v>56</v>
      </c>
      <c r="J108" s="23">
        <v>0</v>
      </c>
      <c r="K108" s="23">
        <f t="shared" ref="K108" si="76">IF($J$6&gt;1,J108,0)</f>
        <v>0</v>
      </c>
      <c r="L108" s="23">
        <f t="shared" ref="L108" si="77">IF($J$6&gt;2,K108,0)</f>
        <v>0</v>
      </c>
      <c r="M108" s="23">
        <f t="shared" ref="M108" si="78">IF($J$6&gt;3,L108,0)</f>
        <v>0</v>
      </c>
      <c r="N108" s="23">
        <f t="shared" ref="N108" si="79">IF($J$6&gt;4,M108,0)</f>
        <v>0</v>
      </c>
      <c r="O108" s="129"/>
      <c r="P108" s="135"/>
      <c r="Q108" s="135"/>
      <c r="U108" s="1"/>
      <c r="V108" s="1"/>
      <c r="W108" s="1"/>
    </row>
    <row r="109" spans="1:23" ht="15.75" hidden="1" customHeight="1" outlineLevel="1" x14ac:dyDescent="0.25">
      <c r="A109" s="13"/>
      <c r="B109" s="47"/>
      <c r="C109" s="47"/>
      <c r="D109" s="47"/>
      <c r="E109" s="47"/>
      <c r="F109" s="47"/>
      <c r="G109" s="46"/>
      <c r="H109" s="14"/>
      <c r="I109" s="149" t="s">
        <v>111</v>
      </c>
      <c r="J109" s="148">
        <f>B108*$V109</f>
        <v>0</v>
      </c>
      <c r="K109" s="148">
        <f t="shared" ref="K109:N109" si="80">C108*$V109</f>
        <v>0</v>
      </c>
      <c r="L109" s="148">
        <f t="shared" si="80"/>
        <v>0</v>
      </c>
      <c r="M109" s="148">
        <f t="shared" si="80"/>
        <v>0</v>
      </c>
      <c r="N109" s="148">
        <f t="shared" si="80"/>
        <v>0</v>
      </c>
      <c r="O109" s="21"/>
      <c r="P109" s="164"/>
      <c r="Q109" s="164"/>
      <c r="R109" s="156"/>
      <c r="S109" s="156"/>
      <c r="T109" s="165"/>
      <c r="U109" s="156"/>
      <c r="V109" s="245"/>
      <c r="W109" s="156"/>
    </row>
    <row r="110" spans="1:23" x14ac:dyDescent="0.25">
      <c r="A110" s="96" t="s">
        <v>0</v>
      </c>
      <c r="B110" s="53">
        <f>ROUND(SUM(B9:B108),0)</f>
        <v>0</v>
      </c>
      <c r="C110" s="53">
        <f t="shared" ref="C110:F110" si="81">ROUND(SUM(C9:C108),0)</f>
        <v>0</v>
      </c>
      <c r="D110" s="53">
        <f t="shared" si="81"/>
        <v>0</v>
      </c>
      <c r="E110" s="53">
        <f t="shared" si="81"/>
        <v>0</v>
      </c>
      <c r="F110" s="53">
        <f t="shared" si="81"/>
        <v>0</v>
      </c>
      <c r="G110" s="53">
        <f>SUM(B110:F110)</f>
        <v>0</v>
      </c>
      <c r="H110" s="24"/>
      <c r="P110" s="135"/>
      <c r="Q110" s="135"/>
      <c r="T110" s="78"/>
      <c r="U110" s="1"/>
      <c r="V110" s="1"/>
      <c r="W110" s="1"/>
    </row>
    <row r="111" spans="1:23" x14ac:dyDescent="0.25">
      <c r="B111" s="52"/>
      <c r="C111" s="52"/>
      <c r="D111" s="48"/>
      <c r="E111" s="48"/>
      <c r="F111" s="48"/>
      <c r="G111" s="46"/>
      <c r="P111" s="135"/>
      <c r="Q111" s="135"/>
      <c r="U111" s="1"/>
      <c r="V111" s="1"/>
      <c r="W111" s="1"/>
    </row>
    <row r="112" spans="1:23" x14ac:dyDescent="0.25">
      <c r="A112" s="98" t="s">
        <v>4</v>
      </c>
      <c r="B112" s="52"/>
      <c r="C112" s="52"/>
      <c r="D112" s="48"/>
      <c r="E112" s="48"/>
      <c r="F112" s="48"/>
      <c r="G112" s="46"/>
      <c r="P112" s="135"/>
      <c r="Q112" s="135"/>
      <c r="U112" s="1"/>
      <c r="V112" s="1"/>
      <c r="W112" s="1"/>
    </row>
    <row r="113" spans="1:23" outlineLevel="1" x14ac:dyDescent="0.25">
      <c r="A113" s="87" t="str">
        <f>I113&amp;ROUND(J113*100,2)&amp;"%"</f>
        <v>UA Employees @ 31.9%</v>
      </c>
      <c r="B113" s="86">
        <f>SUM(B9:B67)*$J113</f>
        <v>0</v>
      </c>
      <c r="C113" s="86">
        <f t="shared" ref="C113:F113" si="82">SUM(C9:C67)*$J113</f>
        <v>0</v>
      </c>
      <c r="D113" s="86">
        <f t="shared" si="82"/>
        <v>0</v>
      </c>
      <c r="E113" s="86">
        <f t="shared" si="82"/>
        <v>0</v>
      </c>
      <c r="F113" s="86">
        <f t="shared" si="82"/>
        <v>0</v>
      </c>
      <c r="G113" s="54">
        <f>SUM(B113:F113)</f>
        <v>0</v>
      </c>
      <c r="H113" s="3"/>
      <c r="I113" s="278" t="s">
        <v>146</v>
      </c>
      <c r="J113" s="279">
        <v>0.31900000000000001</v>
      </c>
      <c r="P113" s="135"/>
      <c r="Q113" s="135"/>
      <c r="U113" s="1"/>
      <c r="V113" s="1"/>
      <c r="W113" s="1"/>
    </row>
    <row r="114" spans="1:23" outlineLevel="1" x14ac:dyDescent="0.25">
      <c r="A114" s="87" t="str">
        <f t="shared" ref="A114:A119" si="83">I114&amp;ROUND(J114*100,2)&amp;"%"</f>
        <v>Faculty - Ancillary @ 17.6%</v>
      </c>
      <c r="B114" s="86">
        <f>SUM(B69:B78)*$J114</f>
        <v>0</v>
      </c>
      <c r="C114" s="86">
        <f t="shared" ref="C114:F114" si="84">SUM(C69:C78)*$J114</f>
        <v>0</v>
      </c>
      <c r="D114" s="86">
        <f t="shared" si="84"/>
        <v>0</v>
      </c>
      <c r="E114" s="86">
        <f t="shared" si="84"/>
        <v>0</v>
      </c>
      <c r="F114" s="86">
        <f t="shared" si="84"/>
        <v>0</v>
      </c>
      <c r="G114" s="54">
        <f>SUM(B114:F114)</f>
        <v>0</v>
      </c>
      <c r="H114" s="3"/>
      <c r="I114" s="278" t="s">
        <v>147</v>
      </c>
      <c r="J114" s="279">
        <v>0.17599999999999999</v>
      </c>
      <c r="N114" s="258"/>
      <c r="P114" s="135"/>
      <c r="Q114" s="135"/>
      <c r="U114" s="1"/>
      <c r="V114" s="1"/>
      <c r="W114" s="1"/>
    </row>
    <row r="115" spans="1:23" outlineLevel="1" x14ac:dyDescent="0.25">
      <c r="A115" s="87" t="str">
        <f t="shared" si="83"/>
        <v>Graduate Assistants @ 13%</v>
      </c>
      <c r="B115" s="86">
        <f>SUM(B82:B96)*$J115</f>
        <v>0</v>
      </c>
      <c r="C115" s="86">
        <f>SUM(C82:C96)*$J115</f>
        <v>0</v>
      </c>
      <c r="D115" s="86">
        <f>SUM(D82:D96)*$J115</f>
        <v>0</v>
      </c>
      <c r="E115" s="86">
        <f>SUM(E82:E96)*$J115</f>
        <v>0</v>
      </c>
      <c r="F115" s="86">
        <f>SUM(F82:F96)*$J115</f>
        <v>0</v>
      </c>
      <c r="G115" s="54">
        <f t="shared" ref="G115:G117" si="85">SUM(B115:F115)</f>
        <v>0</v>
      </c>
      <c r="H115" s="3"/>
      <c r="I115" s="278" t="s">
        <v>148</v>
      </c>
      <c r="J115" s="279">
        <v>0.13</v>
      </c>
      <c r="P115" s="135"/>
      <c r="Q115" s="135"/>
      <c r="U115" s="1"/>
      <c r="V115" s="1"/>
      <c r="W115" s="1"/>
    </row>
    <row r="116" spans="1:23" outlineLevel="1" x14ac:dyDescent="0.25">
      <c r="A116" s="87" t="str">
        <f t="shared" si="83"/>
        <v>Student Employees @ 2%</v>
      </c>
      <c r="B116" s="86">
        <f>SUM(B100:B108)*$J116</f>
        <v>0</v>
      </c>
      <c r="C116" s="86">
        <f>SUM(C100:C108)*$J116</f>
        <v>0</v>
      </c>
      <c r="D116" s="86">
        <f>SUM(D100:D108)*$J116</f>
        <v>0</v>
      </c>
      <c r="E116" s="86">
        <f>SUM(E100:E108)*$J116</f>
        <v>0</v>
      </c>
      <c r="F116" s="86">
        <f>SUM(F100:F108)*$J116</f>
        <v>0</v>
      </c>
      <c r="G116" s="54">
        <f t="shared" si="85"/>
        <v>0</v>
      </c>
      <c r="H116" s="3"/>
      <c r="I116" s="278" t="s">
        <v>149</v>
      </c>
      <c r="J116" s="279">
        <v>0.02</v>
      </c>
      <c r="P116" s="135"/>
      <c r="Q116" s="135"/>
      <c r="U116" s="1"/>
      <c r="V116" s="1"/>
      <c r="W116" s="1"/>
    </row>
    <row r="117" spans="1:23" hidden="1" outlineLevel="1" x14ac:dyDescent="0.25">
      <c r="A117" s="87" t="str">
        <f t="shared" si="83"/>
        <v>Banner Employees @ 16.2%</v>
      </c>
      <c r="B117" s="86">
        <f>SUM(0)*$J117</f>
        <v>0</v>
      </c>
      <c r="C117" s="86">
        <f t="shared" ref="C117:F119" si="86">SUM(0)*$J117</f>
        <v>0</v>
      </c>
      <c r="D117" s="86">
        <f t="shared" si="86"/>
        <v>0</v>
      </c>
      <c r="E117" s="86">
        <f t="shared" si="86"/>
        <v>0</v>
      </c>
      <c r="F117" s="86">
        <f t="shared" si="86"/>
        <v>0</v>
      </c>
      <c r="G117" s="54">
        <f t="shared" si="85"/>
        <v>0</v>
      </c>
      <c r="H117" s="3"/>
      <c r="I117" s="278" t="s">
        <v>150</v>
      </c>
      <c r="J117" s="279">
        <v>0.16200000000000001</v>
      </c>
      <c r="P117" s="135"/>
      <c r="Q117" s="135"/>
      <c r="U117" s="1"/>
      <c r="V117" s="1"/>
      <c r="W117" s="1"/>
    </row>
    <row r="118" spans="1:23" hidden="1" outlineLevel="1" x14ac:dyDescent="0.25">
      <c r="A118" s="87" t="str">
        <f t="shared" si="83"/>
        <v>PCH Employees @ 23.4%</v>
      </c>
      <c r="B118" s="86">
        <f>SUM(0)*$J118</f>
        <v>0</v>
      </c>
      <c r="C118" s="86">
        <f t="shared" si="86"/>
        <v>0</v>
      </c>
      <c r="D118" s="86">
        <f t="shared" si="86"/>
        <v>0</v>
      </c>
      <c r="E118" s="86">
        <f t="shared" si="86"/>
        <v>0</v>
      </c>
      <c r="F118" s="86">
        <f t="shared" si="86"/>
        <v>0</v>
      </c>
      <c r="G118" s="54">
        <f t="shared" ref="G118" si="87">SUM(B118:F118)</f>
        <v>0</v>
      </c>
      <c r="H118" s="3"/>
      <c r="I118" s="278" t="s">
        <v>151</v>
      </c>
      <c r="J118" s="279">
        <v>0.23400000000000001</v>
      </c>
      <c r="P118" s="135"/>
      <c r="Q118" s="135"/>
      <c r="U118" s="1"/>
      <c r="V118" s="1"/>
      <c r="W118" s="1"/>
    </row>
    <row r="119" spans="1:23" hidden="1" outlineLevel="1" x14ac:dyDescent="0.25">
      <c r="A119" s="87" t="str">
        <f t="shared" si="83"/>
        <v>Dignity/St. Joseph's @ 23.6%</v>
      </c>
      <c r="B119" s="86">
        <f>SUM(0)*$J119</f>
        <v>0</v>
      </c>
      <c r="C119" s="86">
        <f t="shared" si="86"/>
        <v>0</v>
      </c>
      <c r="D119" s="86">
        <f t="shared" si="86"/>
        <v>0</v>
      </c>
      <c r="E119" s="86">
        <f t="shared" si="86"/>
        <v>0</v>
      </c>
      <c r="F119" s="86">
        <f t="shared" si="86"/>
        <v>0</v>
      </c>
      <c r="G119" s="54">
        <f t="shared" ref="G119" si="88">SUM(B119:F119)</f>
        <v>0</v>
      </c>
      <c r="H119" s="3"/>
      <c r="I119" s="278" t="s">
        <v>182</v>
      </c>
      <c r="J119" s="279">
        <v>0.23599999999999999</v>
      </c>
      <c r="P119" s="135"/>
      <c r="Q119" s="135"/>
      <c r="U119" s="1"/>
      <c r="V119" s="1"/>
      <c r="W119" s="1"/>
    </row>
    <row r="120" spans="1:23" x14ac:dyDescent="0.25">
      <c r="A120" s="96" t="s">
        <v>1</v>
      </c>
      <c r="B120" s="55">
        <f>ROUND(SUM(B113:B119),0)</f>
        <v>0</v>
      </c>
      <c r="C120" s="55">
        <f>ROUND(SUM(C113:C119),0)</f>
        <v>0</v>
      </c>
      <c r="D120" s="55">
        <f>ROUND(SUM(D113:D119),0)</f>
        <v>0</v>
      </c>
      <c r="E120" s="55">
        <f>ROUND(SUM(E113:E119),0)</f>
        <v>0</v>
      </c>
      <c r="F120" s="55">
        <f>ROUND(SUM(F113:F119),0)</f>
        <v>0</v>
      </c>
      <c r="G120" s="56">
        <f t="shared" ref="G120" si="89">SUM(B120:F120)</f>
        <v>0</v>
      </c>
      <c r="H120" s="3"/>
      <c r="P120" s="135"/>
      <c r="Q120" s="135"/>
      <c r="U120" s="1"/>
      <c r="V120" s="1"/>
      <c r="W120" s="1"/>
    </row>
    <row r="121" spans="1:23" x14ac:dyDescent="0.25">
      <c r="B121" s="48"/>
      <c r="C121" s="48"/>
      <c r="D121" s="48"/>
      <c r="E121" s="48"/>
      <c r="F121" s="48"/>
      <c r="G121" s="46"/>
      <c r="P121" s="135"/>
      <c r="Q121" s="135"/>
      <c r="U121" s="1"/>
      <c r="V121" s="1"/>
      <c r="W121" s="1"/>
    </row>
    <row r="122" spans="1:23" x14ac:dyDescent="0.25">
      <c r="A122" s="97" t="s">
        <v>95</v>
      </c>
      <c r="B122" s="57">
        <f>B110+B120</f>
        <v>0</v>
      </c>
      <c r="C122" s="57">
        <f>C110+C120</f>
        <v>0</v>
      </c>
      <c r="D122" s="57">
        <f>D110+D120</f>
        <v>0</v>
      </c>
      <c r="E122" s="57">
        <f>E110+E120</f>
        <v>0</v>
      </c>
      <c r="F122" s="57">
        <f>F110+F120</f>
        <v>0</v>
      </c>
      <c r="G122" s="58">
        <f>SUM(B122:F122)</f>
        <v>0</v>
      </c>
      <c r="H122" s="3"/>
      <c r="P122" s="135"/>
      <c r="Q122" s="135"/>
      <c r="U122" s="1"/>
      <c r="V122" s="1"/>
      <c r="W122" s="1"/>
    </row>
    <row r="123" spans="1:23" x14ac:dyDescent="0.25">
      <c r="A123" s="2"/>
      <c r="B123" s="59"/>
      <c r="C123" s="59"/>
      <c r="D123" s="59"/>
      <c r="E123" s="59"/>
      <c r="F123" s="59"/>
      <c r="G123" s="60"/>
      <c r="H123" s="25"/>
      <c r="P123" s="135"/>
      <c r="Q123" s="135"/>
      <c r="U123" s="1"/>
      <c r="V123" s="1"/>
      <c r="W123" s="1"/>
    </row>
    <row r="124" spans="1:23" x14ac:dyDescent="0.25">
      <c r="A124" s="95" t="s">
        <v>39</v>
      </c>
      <c r="B124" s="48"/>
      <c r="C124" s="48"/>
      <c r="D124" s="48"/>
      <c r="E124" s="48"/>
      <c r="F124" s="48"/>
      <c r="G124" s="46"/>
      <c r="P124" s="135"/>
      <c r="Q124" s="135"/>
      <c r="U124" s="1"/>
      <c r="V124" s="1"/>
      <c r="W124" s="1"/>
    </row>
    <row r="125" spans="1:23" outlineLevel="1" x14ac:dyDescent="0.25">
      <c r="A125" s="280" t="s">
        <v>41</v>
      </c>
      <c r="B125" s="281">
        <v>0</v>
      </c>
      <c r="C125" s="281">
        <v>0</v>
      </c>
      <c r="D125" s="281">
        <v>0</v>
      </c>
      <c r="E125" s="281">
        <v>0</v>
      </c>
      <c r="F125" s="281">
        <v>0</v>
      </c>
      <c r="G125" s="46">
        <f>SUM(B125:F125)</f>
        <v>0</v>
      </c>
      <c r="H125" s="14"/>
      <c r="P125" s="135"/>
      <c r="Q125" s="135"/>
      <c r="U125" s="1"/>
      <c r="V125" s="1"/>
      <c r="W125" s="1"/>
    </row>
    <row r="126" spans="1:23" hidden="1" outlineLevel="1" x14ac:dyDescent="0.25">
      <c r="A126" s="280" t="s">
        <v>42</v>
      </c>
      <c r="B126" s="281">
        <v>0</v>
      </c>
      <c r="C126" s="281">
        <v>0</v>
      </c>
      <c r="D126" s="281">
        <v>0</v>
      </c>
      <c r="E126" s="281">
        <v>0</v>
      </c>
      <c r="F126" s="281">
        <v>0</v>
      </c>
      <c r="G126" s="46">
        <f>SUM(B126:F126)</f>
        <v>0</v>
      </c>
      <c r="H126" s="14"/>
      <c r="P126" s="135"/>
      <c r="Q126" s="135"/>
      <c r="U126" s="1"/>
      <c r="V126" s="1"/>
      <c r="W126" s="1"/>
    </row>
    <row r="127" spans="1:23" hidden="1" outlineLevel="1" x14ac:dyDescent="0.25">
      <c r="A127" s="280" t="s">
        <v>43</v>
      </c>
      <c r="B127" s="281">
        <v>0</v>
      </c>
      <c r="C127" s="281">
        <v>0</v>
      </c>
      <c r="D127" s="281">
        <v>0</v>
      </c>
      <c r="E127" s="281">
        <v>0</v>
      </c>
      <c r="F127" s="281">
        <v>0</v>
      </c>
      <c r="G127" s="46">
        <f>SUM(B127:F127)</f>
        <v>0</v>
      </c>
      <c r="H127" s="14"/>
      <c r="P127" s="135"/>
      <c r="Q127" s="135"/>
      <c r="U127" s="1"/>
      <c r="V127" s="1"/>
      <c r="W127" s="1"/>
    </row>
    <row r="128" spans="1:23" x14ac:dyDescent="0.25">
      <c r="A128" s="96" t="s">
        <v>40</v>
      </c>
      <c r="B128" s="53">
        <f>ROUND(SUM(B125:B127),0)</f>
        <v>0</v>
      </c>
      <c r="C128" s="53">
        <f t="shared" ref="C128:F128" si="90">ROUND(SUM(C125:C127),0)</f>
        <v>0</v>
      </c>
      <c r="D128" s="53">
        <f t="shared" si="90"/>
        <v>0</v>
      </c>
      <c r="E128" s="53">
        <f t="shared" si="90"/>
        <v>0</v>
      </c>
      <c r="F128" s="53">
        <f t="shared" si="90"/>
        <v>0</v>
      </c>
      <c r="G128" s="53">
        <f>SUM(B128:F128)</f>
        <v>0</v>
      </c>
      <c r="H128" s="24"/>
      <c r="P128" s="135"/>
      <c r="Q128" s="135"/>
      <c r="U128" s="1"/>
      <c r="V128" s="1"/>
      <c r="W128" s="1"/>
    </row>
    <row r="129" spans="1:23" x14ac:dyDescent="0.25">
      <c r="B129" s="52"/>
      <c r="C129" s="52"/>
      <c r="D129" s="48"/>
      <c r="E129" s="48"/>
      <c r="F129" s="48"/>
      <c r="G129" s="46"/>
      <c r="P129" s="135"/>
      <c r="Q129" s="135"/>
      <c r="U129" s="1"/>
      <c r="V129" s="1"/>
      <c r="W129" s="1"/>
    </row>
    <row r="130" spans="1:23" x14ac:dyDescent="0.25">
      <c r="A130" s="98" t="s">
        <v>11</v>
      </c>
      <c r="B130" s="60"/>
      <c r="C130" s="60"/>
      <c r="D130" s="60"/>
      <c r="E130" s="60"/>
      <c r="F130" s="60"/>
      <c r="G130" s="60"/>
      <c r="H130" s="25"/>
      <c r="P130" s="135"/>
      <c r="Q130" s="135"/>
      <c r="U130" s="1"/>
      <c r="V130" s="1"/>
      <c r="W130" s="1"/>
    </row>
    <row r="131" spans="1:23" outlineLevel="1" x14ac:dyDescent="0.25">
      <c r="A131" s="13" t="s">
        <v>159</v>
      </c>
      <c r="B131" s="61">
        <v>0</v>
      </c>
      <c r="C131" s="61">
        <v>0</v>
      </c>
      <c r="D131" s="61">
        <v>0</v>
      </c>
      <c r="E131" s="61">
        <v>0</v>
      </c>
      <c r="F131" s="61">
        <v>0</v>
      </c>
      <c r="G131" s="60">
        <f>SUM(B131:F131)</f>
        <v>0</v>
      </c>
      <c r="H131" s="25"/>
      <c r="P131" s="135"/>
      <c r="Q131" s="135"/>
      <c r="U131" s="1"/>
      <c r="V131" s="1"/>
      <c r="W131" s="1"/>
    </row>
    <row r="132" spans="1:23" outlineLevel="1" x14ac:dyDescent="0.25">
      <c r="A132" s="13" t="s">
        <v>160</v>
      </c>
      <c r="B132" s="61">
        <v>0</v>
      </c>
      <c r="C132" s="61">
        <v>0</v>
      </c>
      <c r="D132" s="61">
        <v>0</v>
      </c>
      <c r="E132" s="61">
        <v>0</v>
      </c>
      <c r="F132" s="61">
        <v>0</v>
      </c>
      <c r="G132" s="60">
        <f>SUM(B132:F132)</f>
        <v>0</v>
      </c>
      <c r="H132" s="25"/>
      <c r="P132" s="135"/>
      <c r="Q132" s="135"/>
      <c r="U132" s="1"/>
      <c r="V132" s="1"/>
      <c r="W132" s="1"/>
    </row>
    <row r="133" spans="1:23" x14ac:dyDescent="0.25">
      <c r="A133" s="96" t="s">
        <v>12</v>
      </c>
      <c r="B133" s="62">
        <f>ROUND(SUM(B131:B132),0)</f>
        <v>0</v>
      </c>
      <c r="C133" s="62">
        <f t="shared" ref="C133:F133" si="91">ROUND(SUM(C131:C132),0)</f>
        <v>0</v>
      </c>
      <c r="D133" s="62">
        <f t="shared" si="91"/>
        <v>0</v>
      </c>
      <c r="E133" s="62">
        <f t="shared" si="91"/>
        <v>0</v>
      </c>
      <c r="F133" s="62">
        <f t="shared" si="91"/>
        <v>0</v>
      </c>
      <c r="G133" s="53">
        <f>SUM(B133:F133)</f>
        <v>0</v>
      </c>
      <c r="H133" s="24"/>
      <c r="P133" s="135"/>
      <c r="Q133" s="135"/>
      <c r="U133" s="1"/>
      <c r="V133" s="1"/>
      <c r="W133" s="1"/>
    </row>
    <row r="134" spans="1:23" x14ac:dyDescent="0.25">
      <c r="B134" s="48"/>
      <c r="C134" s="48"/>
      <c r="D134" s="48"/>
      <c r="E134" s="48"/>
      <c r="F134" s="48"/>
      <c r="G134" s="46"/>
      <c r="P134" s="135"/>
      <c r="Q134" s="135"/>
      <c r="U134" s="1"/>
      <c r="V134" s="1"/>
      <c r="W134" s="1"/>
    </row>
    <row r="135" spans="1:23" x14ac:dyDescent="0.25">
      <c r="A135" s="2" t="s">
        <v>44</v>
      </c>
      <c r="B135" s="48"/>
      <c r="C135" s="48"/>
      <c r="D135" s="48"/>
      <c r="E135" s="48"/>
      <c r="F135" s="48"/>
      <c r="G135" s="46"/>
      <c r="P135" s="135"/>
      <c r="Q135" s="135"/>
      <c r="U135" s="1"/>
      <c r="V135" s="1"/>
      <c r="W135" s="1"/>
    </row>
    <row r="136" spans="1:23" outlineLevel="1" x14ac:dyDescent="0.25">
      <c r="A136" s="35" t="s">
        <v>165</v>
      </c>
      <c r="B136" s="64">
        <v>0</v>
      </c>
      <c r="C136" s="64">
        <v>0</v>
      </c>
      <c r="D136" s="64">
        <v>0</v>
      </c>
      <c r="E136" s="64">
        <v>0</v>
      </c>
      <c r="F136" s="64">
        <v>0</v>
      </c>
      <c r="G136" s="54">
        <f>SUM(B136:F136)</f>
        <v>0</v>
      </c>
      <c r="P136" s="135"/>
      <c r="Q136" s="135"/>
      <c r="U136" s="1"/>
      <c r="V136" s="1"/>
      <c r="W136" s="1"/>
    </row>
    <row r="137" spans="1:23" x14ac:dyDescent="0.25">
      <c r="A137" s="96" t="s">
        <v>161</v>
      </c>
      <c r="B137" s="62">
        <f>ROUND(SUM(B136),0)</f>
        <v>0</v>
      </c>
      <c r="C137" s="62">
        <f t="shared" ref="C137:F137" si="92">ROUND(SUM(C136),0)</f>
        <v>0</v>
      </c>
      <c r="D137" s="62">
        <f t="shared" si="92"/>
        <v>0</v>
      </c>
      <c r="E137" s="62">
        <f t="shared" si="92"/>
        <v>0</v>
      </c>
      <c r="F137" s="62">
        <f t="shared" si="92"/>
        <v>0</v>
      </c>
      <c r="G137" s="53">
        <f>SUM(B137:F137)</f>
        <v>0</v>
      </c>
      <c r="H137" s="24"/>
      <c r="P137" s="135"/>
      <c r="Q137" s="135"/>
      <c r="U137" s="1"/>
      <c r="V137" s="1"/>
      <c r="W137" s="1"/>
    </row>
    <row r="138" spans="1:23" x14ac:dyDescent="0.25">
      <c r="B138" s="48"/>
      <c r="C138" s="48"/>
      <c r="D138" s="48"/>
      <c r="E138" s="48"/>
      <c r="F138" s="48"/>
      <c r="G138" s="46"/>
      <c r="P138" s="135"/>
      <c r="Q138" s="135"/>
      <c r="U138" s="1"/>
      <c r="V138" s="1"/>
      <c r="W138" s="1"/>
    </row>
    <row r="139" spans="1:23" x14ac:dyDescent="0.25">
      <c r="A139" s="100" t="s">
        <v>33</v>
      </c>
      <c r="B139" s="59"/>
      <c r="C139" s="59"/>
      <c r="D139" s="48"/>
      <c r="E139" s="48"/>
      <c r="F139" s="48"/>
      <c r="G139" s="46"/>
      <c r="P139" s="135"/>
      <c r="Q139" s="135"/>
      <c r="U139" s="1"/>
      <c r="V139" s="1"/>
      <c r="W139" s="1"/>
    </row>
    <row r="140" spans="1:23" outlineLevel="1" x14ac:dyDescent="0.25">
      <c r="A140" s="35" t="s">
        <v>31</v>
      </c>
      <c r="B140" s="64"/>
      <c r="C140" s="64"/>
      <c r="D140" s="64"/>
      <c r="E140" s="64"/>
      <c r="F140" s="64"/>
      <c r="G140" s="54">
        <f>SUM(B140:F140)</f>
        <v>0</v>
      </c>
      <c r="P140" s="135"/>
      <c r="Q140" s="135"/>
      <c r="U140" s="1"/>
      <c r="V140" s="1"/>
      <c r="W140" s="1"/>
    </row>
    <row r="141" spans="1:23" outlineLevel="1" x14ac:dyDescent="0.25">
      <c r="A141" s="35" t="s">
        <v>37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54">
        <f>SUM(B141:F141)</f>
        <v>0</v>
      </c>
      <c r="H141" s="3"/>
      <c r="P141" s="135"/>
      <c r="Q141" s="135"/>
      <c r="U141" s="1"/>
      <c r="V141" s="1"/>
      <c r="W141" s="1"/>
    </row>
    <row r="142" spans="1:23" outlineLevel="1" x14ac:dyDescent="0.25">
      <c r="A142" s="35"/>
      <c r="B142" s="64"/>
      <c r="C142" s="64"/>
      <c r="D142" s="64"/>
      <c r="E142" s="64"/>
      <c r="F142" s="64"/>
      <c r="G142" s="54"/>
      <c r="P142" s="135"/>
      <c r="Q142" s="135"/>
      <c r="U142" s="1"/>
      <c r="V142" s="1"/>
      <c r="W142" s="1"/>
    </row>
    <row r="143" spans="1:23" hidden="1" outlineLevel="1" x14ac:dyDescent="0.25">
      <c r="A143" s="35" t="s">
        <v>88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6">
        <f>SUM(B143:F143)</f>
        <v>0</v>
      </c>
      <c r="H143" s="14"/>
      <c r="J143" s="7" t="s">
        <v>6</v>
      </c>
      <c r="K143" s="7" t="s">
        <v>5</v>
      </c>
      <c r="L143" s="7" t="s">
        <v>7</v>
      </c>
      <c r="M143" s="7" t="s">
        <v>8</v>
      </c>
      <c r="N143" s="7" t="s">
        <v>9</v>
      </c>
      <c r="O143" s="7" t="s">
        <v>10</v>
      </c>
      <c r="P143" s="135"/>
      <c r="Q143" s="135"/>
      <c r="U143" s="1"/>
      <c r="V143" s="1"/>
      <c r="W143" s="1"/>
    </row>
    <row r="144" spans="1:23" hidden="1" outlineLevel="1" x14ac:dyDescent="0.25">
      <c r="A144" s="35" t="s">
        <v>89</v>
      </c>
      <c r="B144" s="48">
        <v>0</v>
      </c>
      <c r="C144" s="48">
        <v>0</v>
      </c>
      <c r="D144" s="48">
        <v>0</v>
      </c>
      <c r="E144" s="48">
        <v>0</v>
      </c>
      <c r="F144" s="48">
        <v>0</v>
      </c>
      <c r="G144" s="46">
        <f t="shared" ref="G144:G152" si="93">SUM(B144:F144)</f>
        <v>0</v>
      </c>
      <c r="H144" s="14"/>
      <c r="I144" s="127" t="s">
        <v>162</v>
      </c>
      <c r="J144" s="48">
        <f>B143+B144</f>
        <v>0</v>
      </c>
      <c r="K144" s="48">
        <f>C143+C144</f>
        <v>0</v>
      </c>
      <c r="L144" s="48">
        <f>D143+D144</f>
        <v>0</v>
      </c>
      <c r="M144" s="48">
        <f>E143+E144</f>
        <v>0</v>
      </c>
      <c r="N144" s="48">
        <f>F143+F144</f>
        <v>0</v>
      </c>
      <c r="O144" s="46">
        <f>SUM(J144:N144)</f>
        <v>0</v>
      </c>
      <c r="P144" s="135"/>
      <c r="Q144" s="135"/>
      <c r="U144" s="1"/>
      <c r="V144" s="1"/>
      <c r="W144" s="1"/>
    </row>
    <row r="145" spans="1:23" hidden="1" outlineLevel="1" x14ac:dyDescent="0.25">
      <c r="A145" s="35" t="s">
        <v>90</v>
      </c>
      <c r="B145" s="48">
        <v>0</v>
      </c>
      <c r="C145" s="48">
        <v>0</v>
      </c>
      <c r="D145" s="48">
        <v>0</v>
      </c>
      <c r="E145" s="48">
        <v>0</v>
      </c>
      <c r="F145" s="48">
        <v>0</v>
      </c>
      <c r="G145" s="46">
        <f t="shared" si="93"/>
        <v>0</v>
      </c>
      <c r="H145" s="14"/>
      <c r="I145" s="127"/>
      <c r="O145" s="2"/>
      <c r="P145" s="135"/>
      <c r="Q145" s="135"/>
      <c r="U145" s="1"/>
      <c r="V145" s="1"/>
      <c r="W145" s="1"/>
    </row>
    <row r="146" spans="1:23" hidden="1" outlineLevel="1" x14ac:dyDescent="0.25">
      <c r="A146" s="35" t="s">
        <v>91</v>
      </c>
      <c r="B146" s="48">
        <v>0</v>
      </c>
      <c r="C146" s="48">
        <v>0</v>
      </c>
      <c r="D146" s="48">
        <v>0</v>
      </c>
      <c r="E146" s="48">
        <v>0</v>
      </c>
      <c r="F146" s="48">
        <v>0</v>
      </c>
      <c r="G146" s="46">
        <f t="shared" si="93"/>
        <v>0</v>
      </c>
      <c r="H146" s="14"/>
      <c r="I146" s="127" t="s">
        <v>163</v>
      </c>
      <c r="J146" s="48">
        <f>B145+B146</f>
        <v>0</v>
      </c>
      <c r="K146" s="48">
        <f>C145+C146</f>
        <v>0</v>
      </c>
      <c r="L146" s="48">
        <f>D145+D146</f>
        <v>0</v>
      </c>
      <c r="M146" s="48">
        <f>E145+E146</f>
        <v>0</v>
      </c>
      <c r="N146" s="48">
        <f>F145+F146</f>
        <v>0</v>
      </c>
      <c r="O146" s="46">
        <f>SUM(J146:N146)</f>
        <v>0</v>
      </c>
      <c r="P146" s="135"/>
      <c r="Q146" s="135"/>
      <c r="U146" s="1"/>
      <c r="V146" s="1"/>
      <c r="W146" s="1"/>
    </row>
    <row r="147" spans="1:23" hidden="1" outlineLevel="1" x14ac:dyDescent="0.25">
      <c r="A147" s="35" t="s">
        <v>102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6">
        <f t="shared" si="93"/>
        <v>0</v>
      </c>
      <c r="H147" s="14"/>
      <c r="I147" s="127"/>
      <c r="O147" s="2"/>
      <c r="P147" s="135"/>
      <c r="Q147" s="135"/>
      <c r="U147" s="1"/>
      <c r="V147" s="1"/>
      <c r="W147" s="1"/>
    </row>
    <row r="148" spans="1:23" hidden="1" outlineLevel="1" x14ac:dyDescent="0.25">
      <c r="A148" s="35" t="s">
        <v>103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6">
        <f t="shared" si="93"/>
        <v>0</v>
      </c>
      <c r="H148" s="14"/>
      <c r="I148" s="127" t="s">
        <v>164</v>
      </c>
      <c r="J148" s="48">
        <f>B147+B148</f>
        <v>0</v>
      </c>
      <c r="K148" s="48">
        <f>C147+C148</f>
        <v>0</v>
      </c>
      <c r="L148" s="48">
        <f>D147+D148</f>
        <v>0</v>
      </c>
      <c r="M148" s="48">
        <f>E147+E148</f>
        <v>0</v>
      </c>
      <c r="N148" s="48">
        <f>F147+F148</f>
        <v>0</v>
      </c>
      <c r="O148" s="46">
        <f>SUM(J148:N148)</f>
        <v>0</v>
      </c>
      <c r="P148" s="135"/>
      <c r="Q148" s="135"/>
      <c r="U148" s="1"/>
      <c r="V148" s="1"/>
      <c r="W148" s="1"/>
    </row>
    <row r="149" spans="1:23" hidden="1" outlineLevel="1" x14ac:dyDescent="0.25">
      <c r="A149" s="35" t="s">
        <v>209</v>
      </c>
      <c r="B149" s="48">
        <v>0</v>
      </c>
      <c r="C149" s="48">
        <v>0</v>
      </c>
      <c r="D149" s="48">
        <v>0</v>
      </c>
      <c r="E149" s="48">
        <v>0</v>
      </c>
      <c r="F149" s="48">
        <v>0</v>
      </c>
      <c r="G149" s="46">
        <f t="shared" si="93"/>
        <v>0</v>
      </c>
      <c r="H149" s="14"/>
      <c r="I149" s="127"/>
      <c r="O149" s="2"/>
      <c r="P149" s="135"/>
      <c r="Q149" s="135"/>
      <c r="U149" s="1"/>
      <c r="V149" s="1"/>
      <c r="W149" s="1"/>
    </row>
    <row r="150" spans="1:23" hidden="1" outlineLevel="1" x14ac:dyDescent="0.25">
      <c r="A150" s="35" t="s">
        <v>210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6">
        <f t="shared" si="93"/>
        <v>0</v>
      </c>
      <c r="H150" s="14"/>
      <c r="I150" s="127" t="s">
        <v>170</v>
      </c>
      <c r="J150" s="48">
        <f>B149+B150</f>
        <v>0</v>
      </c>
      <c r="K150" s="48">
        <f>C149+C150</f>
        <v>0</v>
      </c>
      <c r="L150" s="48">
        <f>D149+D150</f>
        <v>0</v>
      </c>
      <c r="M150" s="48">
        <f>E149+E150</f>
        <v>0</v>
      </c>
      <c r="N150" s="48">
        <f>F149+F150</f>
        <v>0</v>
      </c>
      <c r="O150" s="46">
        <f>SUM(J150:N150)</f>
        <v>0</v>
      </c>
      <c r="P150" s="135"/>
      <c r="Q150" s="135"/>
      <c r="U150" s="1"/>
      <c r="V150" s="1"/>
      <c r="W150" s="1"/>
    </row>
    <row r="151" spans="1:23" hidden="1" outlineLevel="1" x14ac:dyDescent="0.25">
      <c r="A151" s="35" t="s">
        <v>211</v>
      </c>
      <c r="B151" s="48">
        <v>0</v>
      </c>
      <c r="C151" s="48">
        <v>0</v>
      </c>
      <c r="D151" s="48">
        <v>0</v>
      </c>
      <c r="E151" s="48">
        <v>0</v>
      </c>
      <c r="F151" s="48">
        <v>0</v>
      </c>
      <c r="G151" s="46">
        <f t="shared" si="93"/>
        <v>0</v>
      </c>
      <c r="H151" s="14"/>
      <c r="I151" s="127"/>
      <c r="P151" s="135"/>
      <c r="Q151" s="135"/>
      <c r="U151" s="1"/>
      <c r="V151" s="1"/>
      <c r="W151" s="1"/>
    </row>
    <row r="152" spans="1:23" hidden="1" outlineLevel="1" x14ac:dyDescent="0.25">
      <c r="A152" s="35" t="s">
        <v>212</v>
      </c>
      <c r="B152" s="48">
        <v>0</v>
      </c>
      <c r="C152" s="48">
        <v>0</v>
      </c>
      <c r="D152" s="48">
        <v>0</v>
      </c>
      <c r="E152" s="48">
        <v>0</v>
      </c>
      <c r="F152" s="48">
        <v>0</v>
      </c>
      <c r="G152" s="46">
        <f t="shared" si="93"/>
        <v>0</v>
      </c>
      <c r="H152" s="14"/>
      <c r="I152" s="127" t="s">
        <v>171</v>
      </c>
      <c r="J152" s="48">
        <f>B151+B152</f>
        <v>0</v>
      </c>
      <c r="K152" s="48">
        <f>C151+C152</f>
        <v>0</v>
      </c>
      <c r="L152" s="48">
        <f>D151+D152</f>
        <v>0</v>
      </c>
      <c r="M152" s="48">
        <f>E151+E152</f>
        <v>0</v>
      </c>
      <c r="N152" s="48">
        <f>F151+F152</f>
        <v>0</v>
      </c>
      <c r="O152" s="46">
        <f>SUM(J152:N152)</f>
        <v>0</v>
      </c>
      <c r="P152" s="135"/>
      <c r="Q152" s="135"/>
      <c r="U152" s="1"/>
      <c r="V152" s="1"/>
      <c r="W152" s="1"/>
    </row>
    <row r="153" spans="1:23" hidden="1" outlineLevel="1" x14ac:dyDescent="0.25">
      <c r="A153" s="101" t="s">
        <v>87</v>
      </c>
      <c r="B153" s="50">
        <f>ROUND(SUM(B143:B152),0)</f>
        <v>0</v>
      </c>
      <c r="C153" s="50">
        <f t="shared" ref="C153:F153" si="94">ROUND(SUM(C143:C152),0)</f>
        <v>0</v>
      </c>
      <c r="D153" s="50">
        <f t="shared" si="94"/>
        <v>0</v>
      </c>
      <c r="E153" s="50">
        <f t="shared" si="94"/>
        <v>0</v>
      </c>
      <c r="F153" s="50">
        <f t="shared" si="94"/>
        <v>0</v>
      </c>
      <c r="G153" s="51">
        <f>SUM(B153:F153)</f>
        <v>0</v>
      </c>
      <c r="H153" s="24"/>
      <c r="P153" s="135"/>
      <c r="Q153" s="135"/>
      <c r="U153" s="1"/>
      <c r="V153" s="1"/>
      <c r="W153" s="1"/>
    </row>
    <row r="154" spans="1:23" outlineLevel="1" x14ac:dyDescent="0.25">
      <c r="A154" s="36"/>
      <c r="B154" s="65"/>
      <c r="C154" s="65"/>
      <c r="D154" s="65"/>
      <c r="E154" s="65"/>
      <c r="F154" s="65"/>
      <c r="G154" s="65"/>
      <c r="H154" s="24"/>
      <c r="P154" s="135"/>
      <c r="Q154" s="135"/>
      <c r="U154" s="1"/>
      <c r="V154" s="1"/>
      <c r="W154" s="1"/>
    </row>
    <row r="155" spans="1:23" x14ac:dyDescent="0.25">
      <c r="A155" s="102" t="s">
        <v>38</v>
      </c>
      <c r="B155" s="62">
        <f>ROUND(SUM(B140:B141,B153),0)</f>
        <v>0</v>
      </c>
      <c r="C155" s="62">
        <f t="shared" ref="C155:F155" si="95">ROUND(SUM(C140:C141,C153),0)</f>
        <v>0</v>
      </c>
      <c r="D155" s="62">
        <f t="shared" si="95"/>
        <v>0</v>
      </c>
      <c r="E155" s="62">
        <f t="shared" si="95"/>
        <v>0</v>
      </c>
      <c r="F155" s="62">
        <f t="shared" si="95"/>
        <v>0</v>
      </c>
      <c r="G155" s="53">
        <f>SUM(B155:F155)</f>
        <v>0</v>
      </c>
      <c r="H155" s="24"/>
      <c r="P155" s="135"/>
      <c r="Q155" s="135"/>
      <c r="U155" s="1"/>
      <c r="V155" s="1"/>
      <c r="W155" s="1"/>
    </row>
    <row r="156" spans="1:23" x14ac:dyDescent="0.25">
      <c r="A156" s="100"/>
      <c r="B156" s="228"/>
      <c r="C156" s="228"/>
      <c r="D156" s="228"/>
      <c r="E156" s="228"/>
      <c r="F156" s="228"/>
      <c r="G156" s="65"/>
      <c r="H156" s="24"/>
      <c r="P156" s="135"/>
      <c r="Q156" s="135"/>
      <c r="U156" s="1"/>
      <c r="V156" s="1"/>
      <c r="W156" s="1"/>
    </row>
    <row r="157" spans="1:23" hidden="1" x14ac:dyDescent="0.25">
      <c r="A157" s="229" t="s">
        <v>175</v>
      </c>
      <c r="B157" s="230"/>
      <c r="C157" s="230"/>
      <c r="D157" s="230"/>
      <c r="E157" s="230"/>
      <c r="F157" s="230"/>
      <c r="G157" s="231">
        <f>SUM(B157:F157)</f>
        <v>0</v>
      </c>
      <c r="H157" s="24"/>
      <c r="P157" s="135"/>
      <c r="Q157" s="135"/>
      <c r="U157" s="1"/>
      <c r="V157" s="1"/>
      <c r="W157" s="1"/>
    </row>
    <row r="158" spans="1:23" hidden="1" x14ac:dyDescent="0.25">
      <c r="A158" s="232" t="s">
        <v>176</v>
      </c>
      <c r="B158" s="233">
        <f>B160-B157</f>
        <v>0</v>
      </c>
      <c r="C158" s="233">
        <f>C160-C157</f>
        <v>0</v>
      </c>
      <c r="D158" s="233">
        <f t="shared" ref="D158:F158" si="96">D160-D157</f>
        <v>0</v>
      </c>
      <c r="E158" s="233">
        <f t="shared" si="96"/>
        <v>0</v>
      </c>
      <c r="F158" s="233">
        <f t="shared" si="96"/>
        <v>0</v>
      </c>
      <c r="G158" s="233">
        <f>SUM(B158:F158)</f>
        <v>0</v>
      </c>
      <c r="H158" s="24"/>
      <c r="P158" s="135"/>
      <c r="Q158" s="135"/>
      <c r="U158" s="1"/>
      <c r="V158" s="1"/>
      <c r="W158" s="1"/>
    </row>
    <row r="159" spans="1:23" hidden="1" x14ac:dyDescent="0.25">
      <c r="A159" s="37"/>
      <c r="B159" s="66"/>
      <c r="C159" s="66"/>
      <c r="D159" s="67"/>
      <c r="E159" s="67"/>
      <c r="F159" s="67"/>
      <c r="G159" s="54"/>
      <c r="P159" s="135"/>
      <c r="Q159" s="135"/>
      <c r="U159" s="1"/>
      <c r="V159" s="1"/>
      <c r="W159" s="1"/>
    </row>
    <row r="160" spans="1:23" hidden="1" x14ac:dyDescent="0.25">
      <c r="A160" s="103" t="s">
        <v>92</v>
      </c>
      <c r="B160" s="92">
        <f>B162-B144-B146-B148-B150-B152</f>
        <v>0</v>
      </c>
      <c r="C160" s="92">
        <f>C162-C144-C146-C148-C150-C152</f>
        <v>0</v>
      </c>
      <c r="D160" s="92">
        <f>D162-D144-D146-D148-D150-D152</f>
        <v>0</v>
      </c>
      <c r="E160" s="92">
        <f>E162-E144-E146-E148-E150-E152</f>
        <v>0</v>
      </c>
      <c r="F160" s="92">
        <f>F162-F144-F146-F148-F150-F152</f>
        <v>0</v>
      </c>
      <c r="G160" s="93">
        <f>SUM(B160:F160)</f>
        <v>0</v>
      </c>
      <c r="P160" s="135"/>
      <c r="Q160" s="135"/>
      <c r="U160" s="1"/>
      <c r="V160" s="1"/>
      <c r="W160" s="1"/>
    </row>
    <row r="161" spans="1:23" hidden="1" x14ac:dyDescent="0.25">
      <c r="A161" s="37"/>
      <c r="B161" s="66"/>
      <c r="C161" s="66"/>
      <c r="D161" s="67"/>
      <c r="E161" s="67"/>
      <c r="F161" s="67"/>
      <c r="G161" s="54"/>
      <c r="P161" s="135"/>
      <c r="Q161" s="135"/>
      <c r="U161" s="1"/>
      <c r="V161" s="1"/>
      <c r="W161" s="1"/>
    </row>
    <row r="162" spans="1:23" x14ac:dyDescent="0.25">
      <c r="A162" s="100" t="s">
        <v>2</v>
      </c>
      <c r="B162" s="68">
        <f>SUM(B122,B128,B133,B137,B155)</f>
        <v>0</v>
      </c>
      <c r="C162" s="68">
        <f>SUM(C122,C128,C133,C137,C155)</f>
        <v>0</v>
      </c>
      <c r="D162" s="68">
        <f>SUM(D122,D128,D133,D137,D155)</f>
        <v>0</v>
      </c>
      <c r="E162" s="68">
        <f>SUM(E122,E128,E133,E137,E155)</f>
        <v>0</v>
      </c>
      <c r="F162" s="68">
        <f>SUM(F122,F128,F133,F137,F155)</f>
        <v>0</v>
      </c>
      <c r="G162" s="54">
        <f t="shared" ref="G162" si="97">SUM(B162:F162)</f>
        <v>0</v>
      </c>
      <c r="H162" s="3"/>
      <c r="P162" s="135"/>
      <c r="Q162" s="135"/>
      <c r="U162" s="1"/>
      <c r="V162" s="1"/>
      <c r="W162" s="1"/>
    </row>
    <row r="163" spans="1:23" x14ac:dyDescent="0.25">
      <c r="A163" s="98"/>
      <c r="B163" s="65"/>
      <c r="C163" s="65"/>
      <c r="D163" s="65"/>
      <c r="E163" s="65"/>
      <c r="F163" s="65"/>
      <c r="G163" s="46"/>
      <c r="H163" s="3"/>
      <c r="P163" s="135"/>
      <c r="Q163" s="135"/>
      <c r="U163" s="1"/>
      <c r="V163" s="1"/>
      <c r="W163" s="1"/>
    </row>
    <row r="164" spans="1:23" hidden="1" x14ac:dyDescent="0.25">
      <c r="A164" s="98"/>
      <c r="B164" s="65"/>
      <c r="C164" s="65"/>
      <c r="D164" s="65"/>
      <c r="E164" s="65"/>
      <c r="F164" s="65"/>
      <c r="G164" s="46"/>
      <c r="H164" s="3"/>
      <c r="P164" s="135"/>
      <c r="Q164" s="135"/>
      <c r="U164" s="1"/>
      <c r="V164" s="1"/>
      <c r="W164" s="1"/>
    </row>
    <row r="165" spans="1:23" hidden="1" x14ac:dyDescent="0.25">
      <c r="A165" s="13"/>
      <c r="B165" s="48"/>
      <c r="C165" s="48"/>
      <c r="D165" s="48"/>
      <c r="E165" s="48"/>
      <c r="F165" s="48"/>
      <c r="G165" s="46"/>
      <c r="I165" s="141"/>
      <c r="P165" s="135"/>
      <c r="Q165" s="135" t="s">
        <v>136</v>
      </c>
      <c r="U165" s="1"/>
      <c r="V165" s="1"/>
      <c r="W165" s="1"/>
    </row>
    <row r="166" spans="1:23" ht="18" customHeight="1" x14ac:dyDescent="0.25">
      <c r="A166" s="306" t="s">
        <v>185</v>
      </c>
      <c r="B166" s="307">
        <f>B162</f>
        <v>0</v>
      </c>
      <c r="C166" s="307">
        <f t="shared" ref="C166:F166" si="98">C162</f>
        <v>0</v>
      </c>
      <c r="D166" s="307">
        <f t="shared" si="98"/>
        <v>0</v>
      </c>
      <c r="E166" s="307">
        <f t="shared" si="98"/>
        <v>0</v>
      </c>
      <c r="F166" s="307">
        <f t="shared" si="98"/>
        <v>0</v>
      </c>
      <c r="G166" s="307">
        <f>SUM(B166:F166)</f>
        <v>0</v>
      </c>
      <c r="H166" s="3"/>
      <c r="I166" s="140"/>
      <c r="P166" s="135"/>
      <c r="Q166" s="135"/>
      <c r="U166" s="1"/>
      <c r="V166" s="1"/>
      <c r="W166" s="1"/>
    </row>
    <row r="167" spans="1:23" x14ac:dyDescent="0.25">
      <c r="A167" s="97"/>
      <c r="B167" s="58"/>
      <c r="C167" s="58"/>
      <c r="D167" s="58"/>
      <c r="E167" s="58"/>
      <c r="F167" s="58"/>
      <c r="G167" s="58"/>
      <c r="H167" s="3"/>
      <c r="P167" s="135"/>
      <c r="Q167" s="135"/>
      <c r="U167" s="1"/>
      <c r="V167" s="1"/>
      <c r="W167" s="1"/>
    </row>
    <row r="168" spans="1:23" hidden="1" x14ac:dyDescent="0.25">
      <c r="A168" s="104" t="s">
        <v>107</v>
      </c>
      <c r="B168" s="105" t="s">
        <v>6</v>
      </c>
      <c r="C168" s="105" t="s">
        <v>5</v>
      </c>
      <c r="D168" s="105" t="s">
        <v>7</v>
      </c>
      <c r="E168" s="105" t="s">
        <v>8</v>
      </c>
      <c r="F168" s="105" t="s">
        <v>9</v>
      </c>
      <c r="G168" s="105" t="s">
        <v>10</v>
      </c>
      <c r="P168" s="135"/>
      <c r="Q168" s="135"/>
      <c r="U168" s="1"/>
      <c r="V168" s="1"/>
      <c r="W168" s="1"/>
    </row>
    <row r="169" spans="1:23" hidden="1" outlineLevel="1" x14ac:dyDescent="0.25">
      <c r="A169" s="106" t="s">
        <v>108</v>
      </c>
      <c r="B169" s="107"/>
      <c r="C169" s="107"/>
      <c r="D169" s="107"/>
      <c r="E169" s="107"/>
      <c r="F169" s="107"/>
      <c r="G169" s="106"/>
      <c r="P169" s="135"/>
      <c r="Q169" s="135"/>
      <c r="U169" s="1"/>
      <c r="V169" s="1"/>
      <c r="W169" s="1"/>
    </row>
    <row r="170" spans="1:23" hidden="1" outlineLevel="1" x14ac:dyDescent="0.25">
      <c r="A170" s="107" t="str">
        <f>A8</f>
        <v>TBD</v>
      </c>
      <c r="B170" s="107"/>
      <c r="C170" s="107"/>
      <c r="D170" s="107"/>
      <c r="E170" s="107"/>
      <c r="F170" s="107"/>
      <c r="G170" s="106"/>
      <c r="P170" s="135"/>
      <c r="Q170" s="135"/>
      <c r="U170" s="1"/>
      <c r="V170" s="1"/>
      <c r="W170" s="1"/>
    </row>
    <row r="171" spans="1:23" hidden="1" outlineLevel="1" x14ac:dyDescent="0.25">
      <c r="A171" s="108" t="e">
        <f>A9</f>
        <v>#DIV/0!</v>
      </c>
      <c r="B171" s="109">
        <f>$T$12*J9-B9</f>
        <v>0</v>
      </c>
      <c r="C171" s="109">
        <f>$T$12*K9-C9</f>
        <v>0</v>
      </c>
      <c r="D171" s="109">
        <f>$T$12*L9-D9</f>
        <v>0</v>
      </c>
      <c r="E171" s="109">
        <f>$T$12*M9-E9</f>
        <v>0</v>
      </c>
      <c r="F171" s="109">
        <f>$T$12*N9-F9</f>
        <v>0</v>
      </c>
      <c r="G171" s="110">
        <f>SUM(B171:F171)</f>
        <v>0</v>
      </c>
      <c r="P171" s="135"/>
      <c r="Q171" s="135"/>
      <c r="U171" s="1"/>
      <c r="V171" s="1"/>
      <c r="W171" s="1"/>
    </row>
    <row r="172" spans="1:23" hidden="1" outlineLevel="1" x14ac:dyDescent="0.25">
      <c r="A172" s="111" t="str">
        <f>"Fringe benefits @ "&amp;ROUND(J113*100,2)&amp;"%"</f>
        <v>Fringe benefits @ 31.9%</v>
      </c>
      <c r="B172" s="252">
        <f>B171*$J$113</f>
        <v>0</v>
      </c>
      <c r="C172" s="252">
        <f>C171*$J$113</f>
        <v>0</v>
      </c>
      <c r="D172" s="252">
        <f>D171*$J$113</f>
        <v>0</v>
      </c>
      <c r="E172" s="252">
        <f>E171*$J$113</f>
        <v>0</v>
      </c>
      <c r="F172" s="252">
        <f>F171*$J$113</f>
        <v>0</v>
      </c>
      <c r="G172" s="253">
        <f>SUM(B172:F172)</f>
        <v>0</v>
      </c>
      <c r="P172" s="135"/>
      <c r="Q172" s="135"/>
      <c r="U172" s="1"/>
      <c r="V172" s="1"/>
      <c r="W172" s="1"/>
    </row>
    <row r="173" spans="1:23" hidden="1" outlineLevel="1" x14ac:dyDescent="0.25">
      <c r="A173" s="111" t="s">
        <v>84</v>
      </c>
      <c r="B173" s="252"/>
      <c r="C173" s="252"/>
      <c r="D173" s="252"/>
      <c r="E173" s="252"/>
      <c r="F173" s="252"/>
      <c r="G173" s="253"/>
      <c r="P173" s="135"/>
      <c r="Q173" s="135"/>
      <c r="U173" s="1"/>
      <c r="V173" s="1"/>
      <c r="W173" s="1"/>
    </row>
    <row r="174" spans="1:23" hidden="1" outlineLevel="1" x14ac:dyDescent="0.25">
      <c r="A174" s="111" t="s">
        <v>186</v>
      </c>
      <c r="B174" s="252">
        <v>0</v>
      </c>
      <c r="C174" s="252">
        <v>0</v>
      </c>
      <c r="D174" s="252">
        <v>0</v>
      </c>
      <c r="E174" s="252">
        <v>0</v>
      </c>
      <c r="F174" s="252">
        <v>0</v>
      </c>
      <c r="G174" s="253">
        <v>0</v>
      </c>
      <c r="P174" s="135"/>
      <c r="Q174" s="135"/>
      <c r="U174" s="1"/>
      <c r="V174" s="1"/>
      <c r="W174" s="1"/>
    </row>
    <row r="175" spans="1:23" hidden="1" outlineLevel="1" x14ac:dyDescent="0.25">
      <c r="A175" s="111" t="s">
        <v>187</v>
      </c>
      <c r="B175" s="252">
        <v>0</v>
      </c>
      <c r="C175" s="252">
        <v>0</v>
      </c>
      <c r="D175" s="252">
        <v>0</v>
      </c>
      <c r="E175" s="252">
        <v>0</v>
      </c>
      <c r="F175" s="252">
        <v>0</v>
      </c>
      <c r="G175" s="253">
        <v>0</v>
      </c>
      <c r="P175" s="135"/>
      <c r="Q175" s="135"/>
      <c r="U175" s="1"/>
      <c r="V175" s="1"/>
      <c r="W175" s="1"/>
    </row>
    <row r="176" spans="1:23" hidden="1" outlineLevel="1" x14ac:dyDescent="0.25">
      <c r="A176" s="111" t="s">
        <v>84</v>
      </c>
      <c r="B176" s="252"/>
      <c r="C176" s="252"/>
      <c r="D176" s="252"/>
      <c r="E176" s="252"/>
      <c r="F176" s="252"/>
      <c r="G176" s="253"/>
      <c r="P176" s="135"/>
      <c r="Q176" s="135"/>
      <c r="U176" s="1"/>
      <c r="V176" s="1"/>
      <c r="W176" s="1"/>
    </row>
    <row r="177" spans="1:23" hidden="1" outlineLevel="1" x14ac:dyDescent="0.25">
      <c r="A177" s="111" t="s">
        <v>186</v>
      </c>
      <c r="B177" s="252">
        <v>0</v>
      </c>
      <c r="C177" s="252">
        <v>0</v>
      </c>
      <c r="D177" s="252">
        <v>0</v>
      </c>
      <c r="E177" s="252">
        <v>0</v>
      </c>
      <c r="F177" s="252">
        <v>0</v>
      </c>
      <c r="G177" s="253">
        <v>0</v>
      </c>
      <c r="P177" s="135"/>
      <c r="Q177" s="135"/>
      <c r="U177" s="1"/>
      <c r="V177" s="1"/>
      <c r="W177" s="1"/>
    </row>
    <row r="178" spans="1:23" hidden="1" outlineLevel="1" x14ac:dyDescent="0.25">
      <c r="A178" s="111" t="s">
        <v>187</v>
      </c>
      <c r="B178" s="252">
        <v>0</v>
      </c>
      <c r="C178" s="252">
        <v>0</v>
      </c>
      <c r="D178" s="252">
        <v>0</v>
      </c>
      <c r="E178" s="252">
        <v>0</v>
      </c>
      <c r="F178" s="252">
        <v>0</v>
      </c>
      <c r="G178" s="253">
        <v>0</v>
      </c>
      <c r="P178" s="135"/>
      <c r="Q178" s="135"/>
      <c r="U178" s="1"/>
      <c r="V178" s="1"/>
      <c r="W178" s="1"/>
    </row>
    <row r="179" spans="1:23" hidden="1" outlineLevel="1" x14ac:dyDescent="0.25">
      <c r="A179" s="254" t="s">
        <v>109</v>
      </c>
      <c r="B179" s="255">
        <f>SUM(B171:B172)</f>
        <v>0</v>
      </c>
      <c r="C179" s="255">
        <f>SUM(C171:C172)</f>
        <v>0</v>
      </c>
      <c r="D179" s="255">
        <f>SUM(D171:D172)</f>
        <v>0</v>
      </c>
      <c r="E179" s="255">
        <f>SUM(E171:E172)</f>
        <v>0</v>
      </c>
      <c r="F179" s="255">
        <f>SUM(F171:F172)</f>
        <v>0</v>
      </c>
      <c r="G179" s="256">
        <f t="shared" ref="G179:G181" si="99">SUM(B179:F179)</f>
        <v>0</v>
      </c>
      <c r="P179" s="135"/>
      <c r="Q179" s="135"/>
      <c r="U179" s="1"/>
      <c r="V179" s="1"/>
      <c r="W179" s="1"/>
    </row>
    <row r="180" spans="1:23" hidden="1" outlineLevel="1" x14ac:dyDescent="0.25">
      <c r="A180" s="111"/>
      <c r="B180" s="109"/>
      <c r="C180" s="109"/>
      <c r="D180" s="109"/>
      <c r="E180" s="109"/>
      <c r="F180" s="109"/>
      <c r="G180" s="257"/>
      <c r="P180" s="135"/>
      <c r="Q180" s="135"/>
      <c r="U180" s="1"/>
      <c r="V180" s="1"/>
      <c r="W180" s="1"/>
    </row>
    <row r="181" spans="1:23" hidden="1" x14ac:dyDescent="0.25">
      <c r="A181" s="112" t="s">
        <v>110</v>
      </c>
      <c r="B181" s="113">
        <f>B179</f>
        <v>0</v>
      </c>
      <c r="C181" s="113">
        <f t="shared" ref="C181:F181" si="100">C179</f>
        <v>0</v>
      </c>
      <c r="D181" s="113">
        <f t="shared" si="100"/>
        <v>0</v>
      </c>
      <c r="E181" s="113">
        <f t="shared" si="100"/>
        <v>0</v>
      </c>
      <c r="F181" s="113">
        <f t="shared" si="100"/>
        <v>0</v>
      </c>
      <c r="G181" s="257">
        <f t="shared" si="99"/>
        <v>0</v>
      </c>
      <c r="P181" s="135"/>
      <c r="Q181" s="135"/>
      <c r="U181" s="1"/>
      <c r="V181" s="1"/>
      <c r="W181" s="1"/>
    </row>
    <row r="182" spans="1:23" ht="16.5" thickBot="1" x14ac:dyDescent="0.3">
      <c r="P182" s="135"/>
      <c r="Q182" s="135"/>
      <c r="U182" s="1"/>
      <c r="V182" s="1"/>
      <c r="W182" s="1"/>
    </row>
    <row r="183" spans="1:23" ht="35.1" hidden="1" customHeight="1" thickBot="1" x14ac:dyDescent="0.3">
      <c r="A183" s="396" t="s">
        <v>57</v>
      </c>
      <c r="B183" s="397"/>
      <c r="C183" s="397"/>
      <c r="D183" s="397"/>
      <c r="E183" s="397"/>
      <c r="F183" s="397"/>
      <c r="G183" s="398"/>
      <c r="P183" s="135"/>
      <c r="Q183" s="135"/>
      <c r="U183" s="1"/>
      <c r="V183" s="1"/>
      <c r="W183" s="1"/>
    </row>
    <row r="184" spans="1:23" hidden="1" x14ac:dyDescent="0.25"/>
    <row r="185" spans="1:23" ht="16.5" hidden="1" thickBot="1" x14ac:dyDescent="0.3"/>
    <row r="186" spans="1:23" x14ac:dyDescent="0.25">
      <c r="A186" s="399" t="s">
        <v>204</v>
      </c>
      <c r="B186" s="400"/>
      <c r="C186" s="400"/>
      <c r="D186" s="400"/>
      <c r="E186" s="400"/>
      <c r="F186" s="400"/>
      <c r="G186" s="400"/>
      <c r="H186" s="400"/>
      <c r="I186" s="400"/>
      <c r="J186" s="400"/>
      <c r="K186" s="400"/>
      <c r="L186" s="400"/>
      <c r="M186" s="400"/>
      <c r="N186" s="400"/>
      <c r="O186" s="400"/>
      <c r="P186" s="400"/>
      <c r="Q186" s="401"/>
    </row>
    <row r="187" spans="1:23" x14ac:dyDescent="0.25">
      <c r="A187" s="402" t="s">
        <v>203</v>
      </c>
      <c r="B187" s="403"/>
      <c r="C187" s="403"/>
      <c r="D187" s="403"/>
      <c r="E187" s="403"/>
      <c r="F187" s="403"/>
      <c r="G187" s="403"/>
      <c r="H187" s="403"/>
      <c r="I187" s="403"/>
      <c r="J187" s="403"/>
      <c r="K187" s="403"/>
      <c r="L187" s="403"/>
      <c r="M187" s="403"/>
      <c r="N187" s="403"/>
      <c r="O187" s="403"/>
      <c r="P187" s="403"/>
      <c r="Q187" s="404"/>
    </row>
    <row r="188" spans="1:23" x14ac:dyDescent="0.25">
      <c r="A188" s="393" t="s">
        <v>188</v>
      </c>
      <c r="B188" s="394"/>
      <c r="C188" s="394"/>
      <c r="D188" s="394"/>
      <c r="E188" s="394"/>
      <c r="F188" s="394"/>
      <c r="G188" s="394"/>
      <c r="H188" s="394"/>
      <c r="I188" s="394"/>
      <c r="J188" s="394"/>
      <c r="K188" s="394"/>
      <c r="L188" s="394"/>
      <c r="M188" s="394"/>
      <c r="N188" s="394"/>
      <c r="O188" s="394"/>
      <c r="P188" s="394"/>
      <c r="Q188" s="395"/>
    </row>
    <row r="189" spans="1:23" x14ac:dyDescent="0.25">
      <c r="A189" s="387" t="s">
        <v>189</v>
      </c>
      <c r="B189" s="388"/>
      <c r="C189" s="388"/>
      <c r="D189" s="388"/>
      <c r="E189" s="388"/>
      <c r="F189" s="388"/>
      <c r="G189" s="388"/>
      <c r="H189" s="388"/>
      <c r="I189" s="388"/>
      <c r="J189" s="388"/>
      <c r="K189" s="388"/>
      <c r="L189" s="388"/>
      <c r="M189" s="388"/>
      <c r="N189" s="388"/>
      <c r="O189" s="388"/>
      <c r="P189" s="388"/>
      <c r="Q189" s="389"/>
    </row>
    <row r="190" spans="1:23" x14ac:dyDescent="0.25">
      <c r="A190" s="387" t="s">
        <v>199</v>
      </c>
      <c r="B190" s="388"/>
      <c r="C190" s="388"/>
      <c r="D190" s="388"/>
      <c r="E190" s="388"/>
      <c r="F190" s="388"/>
      <c r="G190" s="388"/>
      <c r="H190" s="388"/>
      <c r="I190" s="388"/>
      <c r="J190" s="388"/>
      <c r="K190" s="388"/>
      <c r="L190" s="388"/>
      <c r="M190" s="388"/>
      <c r="N190" s="388"/>
      <c r="O190" s="388"/>
      <c r="P190" s="388"/>
      <c r="Q190" s="389"/>
    </row>
    <row r="191" spans="1:23" x14ac:dyDescent="0.25">
      <c r="A191" s="387" t="s">
        <v>190</v>
      </c>
      <c r="B191" s="388"/>
      <c r="C191" s="388"/>
      <c r="D191" s="388"/>
      <c r="E191" s="388"/>
      <c r="F191" s="388"/>
      <c r="G191" s="388"/>
      <c r="H191" s="388"/>
      <c r="I191" s="388"/>
      <c r="J191" s="388"/>
      <c r="K191" s="388"/>
      <c r="L191" s="388"/>
      <c r="M191" s="388"/>
      <c r="N191" s="388"/>
      <c r="O191" s="388"/>
      <c r="P191" s="388"/>
      <c r="Q191" s="389"/>
    </row>
    <row r="192" spans="1:23" x14ac:dyDescent="0.25">
      <c r="A192" s="387" t="s">
        <v>191</v>
      </c>
      <c r="B192" s="388"/>
      <c r="C192" s="388"/>
      <c r="D192" s="388"/>
      <c r="E192" s="388"/>
      <c r="F192" s="388"/>
      <c r="G192" s="388"/>
      <c r="H192" s="388"/>
      <c r="I192" s="388"/>
      <c r="J192" s="388"/>
      <c r="K192" s="388"/>
      <c r="L192" s="388"/>
      <c r="M192" s="388"/>
      <c r="N192" s="388"/>
      <c r="O192" s="388"/>
      <c r="P192" s="388"/>
      <c r="Q192" s="389"/>
    </row>
    <row r="193" spans="1:17" x14ac:dyDescent="0.25">
      <c r="A193" s="393" t="s">
        <v>192</v>
      </c>
      <c r="B193" s="394"/>
      <c r="C193" s="394"/>
      <c r="D193" s="394"/>
      <c r="E193" s="394"/>
      <c r="F193" s="394"/>
      <c r="G193" s="394"/>
      <c r="H193" s="394"/>
      <c r="I193" s="394"/>
      <c r="J193" s="394"/>
      <c r="K193" s="394"/>
      <c r="L193" s="394"/>
      <c r="M193" s="394"/>
      <c r="N193" s="394"/>
      <c r="O193" s="394"/>
      <c r="P193" s="394"/>
      <c r="Q193" s="395"/>
    </row>
    <row r="194" spans="1:17" x14ac:dyDescent="0.25">
      <c r="A194" s="393" t="s">
        <v>193</v>
      </c>
      <c r="B194" s="394"/>
      <c r="C194" s="394"/>
      <c r="D194" s="394"/>
      <c r="E194" s="394"/>
      <c r="F194" s="394"/>
      <c r="G194" s="394"/>
      <c r="H194" s="394"/>
      <c r="I194" s="394"/>
      <c r="J194" s="394"/>
      <c r="K194" s="394"/>
      <c r="L194" s="394"/>
      <c r="M194" s="394"/>
      <c r="N194" s="394"/>
      <c r="O194" s="394"/>
      <c r="P194" s="394"/>
      <c r="Q194" s="395"/>
    </row>
    <row r="195" spans="1:17" x14ac:dyDescent="0.25">
      <c r="A195" s="393" t="s">
        <v>194</v>
      </c>
      <c r="B195" s="394"/>
      <c r="C195" s="394"/>
      <c r="D195" s="394"/>
      <c r="E195" s="394"/>
      <c r="F195" s="394"/>
      <c r="G195" s="394"/>
      <c r="H195" s="394"/>
      <c r="I195" s="394"/>
      <c r="J195" s="394"/>
      <c r="K195" s="394"/>
      <c r="L195" s="394"/>
      <c r="M195" s="394"/>
      <c r="N195" s="394"/>
      <c r="O195" s="394"/>
      <c r="P195" s="394"/>
      <c r="Q195" s="395"/>
    </row>
    <row r="196" spans="1:17" x14ac:dyDescent="0.25">
      <c r="A196" s="387" t="s">
        <v>200</v>
      </c>
      <c r="B196" s="388"/>
      <c r="C196" s="388"/>
      <c r="D196" s="388"/>
      <c r="E196" s="388"/>
      <c r="F196" s="388"/>
      <c r="G196" s="388"/>
      <c r="H196" s="388"/>
      <c r="I196" s="388"/>
      <c r="J196" s="388"/>
      <c r="K196" s="388"/>
      <c r="L196" s="388"/>
      <c r="M196" s="388"/>
      <c r="N196" s="388"/>
      <c r="O196" s="388"/>
      <c r="P196" s="388"/>
      <c r="Q196" s="389"/>
    </row>
    <row r="197" spans="1:17" x14ac:dyDescent="0.25">
      <c r="A197" s="387" t="s">
        <v>195</v>
      </c>
      <c r="B197" s="388"/>
      <c r="C197" s="388"/>
      <c r="D197" s="388"/>
      <c r="E197" s="388"/>
      <c r="F197" s="388"/>
      <c r="G197" s="388"/>
      <c r="H197" s="388"/>
      <c r="I197" s="388"/>
      <c r="J197" s="388"/>
      <c r="K197" s="388"/>
      <c r="L197" s="388"/>
      <c r="M197" s="388"/>
      <c r="N197" s="388"/>
      <c r="O197" s="388"/>
      <c r="P197" s="388"/>
      <c r="Q197" s="389"/>
    </row>
    <row r="198" spans="1:17" x14ac:dyDescent="0.25">
      <c r="A198" s="387" t="s">
        <v>201</v>
      </c>
      <c r="B198" s="388"/>
      <c r="C198" s="388"/>
      <c r="D198" s="388"/>
      <c r="E198" s="388"/>
      <c r="F198" s="388"/>
      <c r="G198" s="388"/>
      <c r="H198" s="388"/>
      <c r="I198" s="388"/>
      <c r="J198" s="388"/>
      <c r="K198" s="388"/>
      <c r="L198" s="388"/>
      <c r="M198" s="388"/>
      <c r="N198" s="388"/>
      <c r="O198" s="388"/>
      <c r="P198" s="388"/>
      <c r="Q198" s="389"/>
    </row>
    <row r="199" spans="1:17" ht="16.5" thickBot="1" x14ac:dyDescent="0.3">
      <c r="A199" s="390" t="s">
        <v>202</v>
      </c>
      <c r="B199" s="391"/>
      <c r="C199" s="391"/>
      <c r="D199" s="391"/>
      <c r="E199" s="391"/>
      <c r="F199" s="391"/>
      <c r="G199" s="391"/>
      <c r="H199" s="391"/>
      <c r="I199" s="391"/>
      <c r="J199" s="391"/>
      <c r="K199" s="391"/>
      <c r="L199" s="391"/>
      <c r="M199" s="391"/>
      <c r="N199" s="391"/>
      <c r="O199" s="391"/>
      <c r="P199" s="391"/>
      <c r="Q199" s="392"/>
    </row>
  </sheetData>
  <mergeCells count="34">
    <mergeCell ref="A45:A46"/>
    <mergeCell ref="A1:G2"/>
    <mergeCell ref="I1:O2"/>
    <mergeCell ref="Y1:Z1"/>
    <mergeCell ref="A3:G3"/>
    <mergeCell ref="A10:A11"/>
    <mergeCell ref="A15:A16"/>
    <mergeCell ref="A20:A21"/>
    <mergeCell ref="A25:A26"/>
    <mergeCell ref="A30:A31"/>
    <mergeCell ref="A35:A36"/>
    <mergeCell ref="A40:A41"/>
    <mergeCell ref="A189:Q189"/>
    <mergeCell ref="A50:A51"/>
    <mergeCell ref="A55:A56"/>
    <mergeCell ref="A60:A61"/>
    <mergeCell ref="A65:A66"/>
    <mergeCell ref="A83:A84"/>
    <mergeCell ref="A89:A90"/>
    <mergeCell ref="A95:A96"/>
    <mergeCell ref="A183:G183"/>
    <mergeCell ref="A186:Q186"/>
    <mergeCell ref="A187:Q187"/>
    <mergeCell ref="A188:Q188"/>
    <mergeCell ref="A196:Q196"/>
    <mergeCell ref="A197:Q197"/>
    <mergeCell ref="A198:Q198"/>
    <mergeCell ref="A199:Q199"/>
    <mergeCell ref="A190:Q190"/>
    <mergeCell ref="A191:Q191"/>
    <mergeCell ref="A192:Q192"/>
    <mergeCell ref="A193:Q193"/>
    <mergeCell ref="A194:Q194"/>
    <mergeCell ref="A195:Q195"/>
  </mergeCells>
  <conditionalFormatting sqref="B158:G158">
    <cfRule type="cellIs" dxfId="0" priority="1" operator="greaterThan">
      <formula>0</formula>
    </cfRule>
  </conditionalFormatting>
  <dataValidations disablePrompts="1" count="2">
    <dataValidation type="list" allowBlank="1" showInputMessage="1" showErrorMessage="1" sqref="U32 U97 U22 U12 U27 U17 U91 U85 U37 U62 U52 U42 U57 U47 U67 Z3" xr:uid="{00000000-0002-0000-0600-000001000000}">
      <formula1>$Q$4:$Q$5</formula1>
    </dataValidation>
    <dataValidation type="list" allowBlank="1" showInputMessage="1" showErrorMessage="1" sqref="V12 V67 V47 V62 V57 V52 V42 V37 V101 V17 V97 V91 V85 V79 V76 V73 V70 V105 V32 V27 V22 V109" xr:uid="{00000000-0002-0000-0600-000000000000}">
      <formula1>$J$113:$J$119</formula1>
    </dataValidation>
  </dataValidations>
  <hyperlinks>
    <hyperlink ref="A186" r:id="rId1" display="Cost share policies" xr:uid="{00000000-0004-0000-0600-000000000000}"/>
    <hyperlink ref="A186:Q186" r:id="rId2" display="UA Procedures for Cost Share" xr:uid="{00000000-0004-0000-0600-000001000000}"/>
  </hyperlinks>
  <pageMargins left="0.7" right="0.7" top="0.75" bottom="0.75" header="0.3" footer="0.3"/>
  <pageSetup orientation="portrait" horizontalDpi="1200" verticalDpi="12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E77"/>
  <sheetViews>
    <sheetView zoomScale="80" zoomScaleNormal="80" workbookViewId="0">
      <selection activeCell="B53" sqref="B53"/>
    </sheetView>
  </sheetViews>
  <sheetFormatPr defaultColWidth="9.28515625" defaultRowHeight="15.75" x14ac:dyDescent="0.25"/>
  <cols>
    <col min="1" max="1" width="26.7109375" style="12" bestFit="1" customWidth="1"/>
    <col min="2" max="2" width="42" style="12" customWidth="1"/>
    <col min="3" max="3" width="14.7109375" style="82" bestFit="1" customWidth="1"/>
    <col min="4" max="4" width="23.42578125" style="12" bestFit="1" customWidth="1"/>
    <col min="5" max="5" width="18.28515625" style="12" customWidth="1"/>
    <col min="6" max="6" width="25.85546875" style="12" customWidth="1"/>
    <col min="7" max="8" width="9.28515625" style="12"/>
    <col min="9" max="9" width="19.42578125" style="12" bestFit="1" customWidth="1"/>
    <col min="10" max="10" width="18.7109375" style="12" customWidth="1"/>
    <col min="11" max="16384" width="9.28515625" style="12"/>
  </cols>
  <sheetData>
    <row r="1" spans="1:5" ht="18.75" x14ac:dyDescent="0.3">
      <c r="A1" s="38" t="s">
        <v>54</v>
      </c>
    </row>
    <row r="3" spans="1:5" x14ac:dyDescent="0.25">
      <c r="A3" s="383" t="s">
        <v>36</v>
      </c>
      <c r="B3" s="384"/>
      <c r="C3" s="384"/>
      <c r="D3" s="384"/>
      <c r="E3" s="385"/>
    </row>
    <row r="4" spans="1:5" ht="31.5" customHeight="1" x14ac:dyDescent="0.25">
      <c r="A4" s="76" t="s">
        <v>78</v>
      </c>
      <c r="B4" s="76" t="s">
        <v>77</v>
      </c>
      <c r="C4" s="71" t="s">
        <v>24</v>
      </c>
      <c r="D4" s="71" t="s">
        <v>25</v>
      </c>
      <c r="E4" s="72" t="s">
        <v>10</v>
      </c>
    </row>
    <row r="5" spans="1:5" x14ac:dyDescent="0.25">
      <c r="A5" s="295" t="s">
        <v>137</v>
      </c>
      <c r="B5" s="293"/>
      <c r="C5" s="294"/>
      <c r="D5" s="305"/>
      <c r="E5" s="84">
        <f>C5*D5</f>
        <v>0</v>
      </c>
    </row>
    <row r="6" spans="1:5" x14ac:dyDescent="0.25">
      <c r="A6" s="295" t="s">
        <v>138</v>
      </c>
      <c r="B6" s="295"/>
      <c r="C6" s="294"/>
      <c r="D6" s="305"/>
      <c r="E6" s="84">
        <f t="shared" ref="E6:E7" si="0">C6*D6</f>
        <v>0</v>
      </c>
    </row>
    <row r="7" spans="1:5" x14ac:dyDescent="0.25">
      <c r="A7" s="295" t="s">
        <v>139</v>
      </c>
      <c r="B7" s="295"/>
      <c r="C7" s="294"/>
      <c r="D7" s="305"/>
      <c r="E7" s="84">
        <f t="shared" si="0"/>
        <v>0</v>
      </c>
    </row>
    <row r="8" spans="1:5" x14ac:dyDescent="0.25">
      <c r="A8" s="295" t="s">
        <v>219</v>
      </c>
      <c r="B8" s="295"/>
      <c r="C8" s="294"/>
      <c r="D8" s="305"/>
      <c r="E8" s="84">
        <f t="shared" ref="E8:E9" si="1">C8*D8</f>
        <v>0</v>
      </c>
    </row>
    <row r="9" spans="1:5" x14ac:dyDescent="0.25">
      <c r="A9" s="295"/>
      <c r="B9" s="295"/>
      <c r="C9" s="294"/>
      <c r="D9" s="305"/>
      <c r="E9" s="84">
        <f t="shared" si="1"/>
        <v>0</v>
      </c>
    </row>
    <row r="10" spans="1:5" x14ac:dyDescent="0.25">
      <c r="A10" s="340" t="s">
        <v>97</v>
      </c>
      <c r="B10" s="293"/>
      <c r="C10" s="294"/>
      <c r="D10" s="305"/>
      <c r="E10" s="84">
        <f>C10*D10</f>
        <v>0</v>
      </c>
    </row>
    <row r="11" spans="1:5" x14ac:dyDescent="0.25">
      <c r="A11" s="295" t="s">
        <v>218</v>
      </c>
      <c r="B11" s="295"/>
      <c r="C11" s="294"/>
      <c r="D11" s="305"/>
      <c r="E11" s="84">
        <f t="shared" ref="E11:E14" si="2">C11*D11</f>
        <v>0</v>
      </c>
    </row>
    <row r="12" spans="1:5" x14ac:dyDescent="0.25">
      <c r="A12" s="295" t="s">
        <v>144</v>
      </c>
      <c r="B12" s="295"/>
      <c r="C12" s="294"/>
      <c r="D12" s="305"/>
      <c r="E12" s="84">
        <f t="shared" si="2"/>
        <v>0</v>
      </c>
    </row>
    <row r="13" spans="1:5" x14ac:dyDescent="0.25">
      <c r="A13" s="295"/>
      <c r="B13" s="295"/>
      <c r="C13" s="294"/>
      <c r="D13" s="305"/>
      <c r="E13" s="84">
        <f t="shared" si="2"/>
        <v>0</v>
      </c>
    </row>
    <row r="14" spans="1:5" x14ac:dyDescent="0.25">
      <c r="A14" s="295"/>
      <c r="B14" s="295"/>
      <c r="C14" s="294"/>
      <c r="D14" s="305"/>
      <c r="E14" s="84">
        <f t="shared" si="2"/>
        <v>0</v>
      </c>
    </row>
    <row r="15" spans="1:5" ht="16.5" thickBot="1" x14ac:dyDescent="0.3">
      <c r="A15" s="382" t="s">
        <v>58</v>
      </c>
      <c r="B15" s="382"/>
      <c r="C15" s="382"/>
      <c r="D15" s="382"/>
      <c r="E15" s="73">
        <f>SUM(E5:E14)</f>
        <v>0</v>
      </c>
    </row>
    <row r="16" spans="1:5" ht="16.5" thickTop="1" x14ac:dyDescent="0.25"/>
    <row r="18" spans="1:5" x14ac:dyDescent="0.25">
      <c r="A18" s="28" t="s">
        <v>60</v>
      </c>
      <c r="B18" s="29"/>
      <c r="C18" s="83"/>
      <c r="D18" s="29"/>
      <c r="E18" s="30"/>
    </row>
    <row r="19" spans="1:5" x14ac:dyDescent="0.25">
      <c r="A19" s="76" t="s">
        <v>78</v>
      </c>
      <c r="B19" s="76" t="s">
        <v>77</v>
      </c>
      <c r="C19" s="71" t="s">
        <v>24</v>
      </c>
      <c r="D19" s="71" t="s">
        <v>25</v>
      </c>
      <c r="E19" s="72" t="s">
        <v>10</v>
      </c>
    </row>
    <row r="20" spans="1:5" x14ac:dyDescent="0.25">
      <c r="A20" s="295" t="s">
        <v>137</v>
      </c>
      <c r="B20" s="293"/>
      <c r="C20" s="294"/>
      <c r="D20" s="305"/>
      <c r="E20" s="84">
        <f>C20*D20</f>
        <v>0</v>
      </c>
    </row>
    <row r="21" spans="1:5" x14ac:dyDescent="0.25">
      <c r="A21" s="295" t="s">
        <v>138</v>
      </c>
      <c r="B21" s="295"/>
      <c r="C21" s="294"/>
      <c r="D21" s="305"/>
      <c r="E21" s="84">
        <f t="shared" ref="E21:E24" si="3">C21*D21</f>
        <v>0</v>
      </c>
    </row>
    <row r="22" spans="1:5" x14ac:dyDescent="0.25">
      <c r="A22" s="295" t="s">
        <v>139</v>
      </c>
      <c r="B22" s="295"/>
      <c r="C22" s="294"/>
      <c r="D22" s="305"/>
      <c r="E22" s="84">
        <f t="shared" si="3"/>
        <v>0</v>
      </c>
    </row>
    <row r="23" spans="1:5" x14ac:dyDescent="0.25">
      <c r="A23" s="295" t="s">
        <v>219</v>
      </c>
      <c r="B23" s="295"/>
      <c r="C23" s="294"/>
      <c r="D23" s="305"/>
      <c r="E23" s="84">
        <f t="shared" si="3"/>
        <v>0</v>
      </c>
    </row>
    <row r="24" spans="1:5" x14ac:dyDescent="0.25">
      <c r="A24" s="295"/>
      <c r="B24" s="295"/>
      <c r="C24" s="294"/>
      <c r="D24" s="305"/>
      <c r="E24" s="84">
        <f t="shared" si="3"/>
        <v>0</v>
      </c>
    </row>
    <row r="25" spans="1:5" x14ac:dyDescent="0.25">
      <c r="A25" s="340" t="s">
        <v>97</v>
      </c>
      <c r="B25" s="293"/>
      <c r="C25" s="294"/>
      <c r="D25" s="305"/>
      <c r="E25" s="84">
        <f>C25*D25</f>
        <v>0</v>
      </c>
    </row>
    <row r="26" spans="1:5" x14ac:dyDescent="0.25">
      <c r="A26" s="295" t="s">
        <v>218</v>
      </c>
      <c r="B26" s="295"/>
      <c r="C26" s="294"/>
      <c r="D26" s="305"/>
      <c r="E26" s="84">
        <f t="shared" ref="E26:E29" si="4">C26*D26</f>
        <v>0</v>
      </c>
    </row>
    <row r="27" spans="1:5" x14ac:dyDescent="0.25">
      <c r="A27" s="295" t="s">
        <v>144</v>
      </c>
      <c r="B27" s="295"/>
      <c r="C27" s="294"/>
      <c r="D27" s="305"/>
      <c r="E27" s="84">
        <f t="shared" si="4"/>
        <v>0</v>
      </c>
    </row>
    <row r="28" spans="1:5" x14ac:dyDescent="0.25">
      <c r="A28" s="295"/>
      <c r="B28" s="295"/>
      <c r="C28" s="294"/>
      <c r="D28" s="305"/>
      <c r="E28" s="84">
        <f t="shared" si="4"/>
        <v>0</v>
      </c>
    </row>
    <row r="29" spans="1:5" x14ac:dyDescent="0.25">
      <c r="A29" s="295"/>
      <c r="B29" s="295"/>
      <c r="C29" s="294"/>
      <c r="D29" s="305"/>
      <c r="E29" s="84">
        <f t="shared" si="4"/>
        <v>0</v>
      </c>
    </row>
    <row r="30" spans="1:5" ht="16.5" thickBot="1" x14ac:dyDescent="0.3">
      <c r="A30" s="382" t="s">
        <v>59</v>
      </c>
      <c r="B30" s="382"/>
      <c r="C30" s="382"/>
      <c r="D30" s="382"/>
      <c r="E30" s="73">
        <f>SUM(E20:E29)</f>
        <v>0</v>
      </c>
    </row>
    <row r="31" spans="1:5" ht="16.5" thickTop="1" x14ac:dyDescent="0.25"/>
    <row r="33" spans="1:5" x14ac:dyDescent="0.25">
      <c r="A33" s="28" t="s">
        <v>61</v>
      </c>
      <c r="B33" s="29"/>
      <c r="C33" s="83"/>
      <c r="D33" s="29"/>
      <c r="E33" s="30"/>
    </row>
    <row r="34" spans="1:5" x14ac:dyDescent="0.25">
      <c r="A34" s="76" t="s">
        <v>78</v>
      </c>
      <c r="B34" s="76" t="s">
        <v>77</v>
      </c>
      <c r="C34" s="71" t="s">
        <v>24</v>
      </c>
      <c r="D34" s="71" t="s">
        <v>25</v>
      </c>
      <c r="E34" s="72" t="s">
        <v>10</v>
      </c>
    </row>
    <row r="35" spans="1:5" x14ac:dyDescent="0.25">
      <c r="A35" s="295" t="s">
        <v>137</v>
      </c>
      <c r="B35" s="293"/>
      <c r="C35" s="294"/>
      <c r="D35" s="305"/>
      <c r="E35" s="84">
        <f>C35*D35</f>
        <v>0</v>
      </c>
    </row>
    <row r="36" spans="1:5" x14ac:dyDescent="0.25">
      <c r="A36" s="295" t="s">
        <v>138</v>
      </c>
      <c r="B36" s="295"/>
      <c r="C36" s="294"/>
      <c r="D36" s="305"/>
      <c r="E36" s="84">
        <f t="shared" ref="E36:E39" si="5">C36*D36</f>
        <v>0</v>
      </c>
    </row>
    <row r="37" spans="1:5" x14ac:dyDescent="0.25">
      <c r="A37" s="295" t="s">
        <v>139</v>
      </c>
      <c r="B37" s="295"/>
      <c r="C37" s="294"/>
      <c r="D37" s="305"/>
      <c r="E37" s="84">
        <f t="shared" si="5"/>
        <v>0</v>
      </c>
    </row>
    <row r="38" spans="1:5" x14ac:dyDescent="0.25">
      <c r="A38" s="295" t="s">
        <v>219</v>
      </c>
      <c r="B38" s="295"/>
      <c r="C38" s="294"/>
      <c r="D38" s="305"/>
      <c r="E38" s="84">
        <f t="shared" si="5"/>
        <v>0</v>
      </c>
    </row>
    <row r="39" spans="1:5" x14ac:dyDescent="0.25">
      <c r="A39" s="295"/>
      <c r="B39" s="295"/>
      <c r="C39" s="294"/>
      <c r="D39" s="305"/>
      <c r="E39" s="84">
        <f t="shared" si="5"/>
        <v>0</v>
      </c>
    </row>
    <row r="40" spans="1:5" x14ac:dyDescent="0.25">
      <c r="A40" s="340" t="s">
        <v>97</v>
      </c>
      <c r="B40" s="293"/>
      <c r="C40" s="294"/>
      <c r="D40" s="305"/>
      <c r="E40" s="84">
        <f>C40*D40</f>
        <v>0</v>
      </c>
    </row>
    <row r="41" spans="1:5" x14ac:dyDescent="0.25">
      <c r="A41" s="295" t="s">
        <v>218</v>
      </c>
      <c r="B41" s="295"/>
      <c r="C41" s="294"/>
      <c r="D41" s="305"/>
      <c r="E41" s="84">
        <f t="shared" ref="E41:E44" si="6">C41*D41</f>
        <v>0</v>
      </c>
    </row>
    <row r="42" spans="1:5" x14ac:dyDescent="0.25">
      <c r="A42" s="295" t="s">
        <v>144</v>
      </c>
      <c r="B42" s="295"/>
      <c r="C42" s="294"/>
      <c r="D42" s="305"/>
      <c r="E42" s="84">
        <f t="shared" si="6"/>
        <v>0</v>
      </c>
    </row>
    <row r="43" spans="1:5" x14ac:dyDescent="0.25">
      <c r="A43" s="295"/>
      <c r="B43" s="295"/>
      <c r="C43" s="294"/>
      <c r="D43" s="305"/>
      <c r="E43" s="84">
        <f t="shared" si="6"/>
        <v>0</v>
      </c>
    </row>
    <row r="44" spans="1:5" x14ac:dyDescent="0.25">
      <c r="A44" s="295"/>
      <c r="B44" s="295"/>
      <c r="C44" s="294"/>
      <c r="D44" s="305"/>
      <c r="E44" s="84">
        <f t="shared" si="6"/>
        <v>0</v>
      </c>
    </row>
    <row r="45" spans="1:5" ht="16.5" thickBot="1" x14ac:dyDescent="0.3">
      <c r="A45" s="382" t="s">
        <v>64</v>
      </c>
      <c r="B45" s="382"/>
      <c r="C45" s="382"/>
      <c r="D45" s="382"/>
      <c r="E45" s="73">
        <f>SUM(E35:E44)</f>
        <v>0</v>
      </c>
    </row>
    <row r="46" spans="1:5" ht="16.5" thickTop="1" x14ac:dyDescent="0.25"/>
    <row r="48" spans="1:5" x14ac:dyDescent="0.25">
      <c r="A48" s="28" t="s">
        <v>62</v>
      </c>
      <c r="B48" s="29"/>
      <c r="C48" s="83"/>
      <c r="D48" s="29"/>
      <c r="E48" s="30"/>
    </row>
    <row r="49" spans="1:5" x14ac:dyDescent="0.25">
      <c r="A49" s="76" t="s">
        <v>78</v>
      </c>
      <c r="B49" s="76" t="s">
        <v>77</v>
      </c>
      <c r="C49" s="71" t="s">
        <v>24</v>
      </c>
      <c r="D49" s="71" t="s">
        <v>25</v>
      </c>
      <c r="E49" s="72" t="s">
        <v>10</v>
      </c>
    </row>
    <row r="50" spans="1:5" x14ac:dyDescent="0.25">
      <c r="A50" s="295" t="s">
        <v>137</v>
      </c>
      <c r="B50" s="293"/>
      <c r="C50" s="294"/>
      <c r="D50" s="305"/>
      <c r="E50" s="84">
        <f>C50*D50</f>
        <v>0</v>
      </c>
    </row>
    <row r="51" spans="1:5" x14ac:dyDescent="0.25">
      <c r="A51" s="295" t="s">
        <v>138</v>
      </c>
      <c r="B51" s="295"/>
      <c r="C51" s="294"/>
      <c r="D51" s="305"/>
      <c r="E51" s="84">
        <f t="shared" ref="E51:E54" si="7">C51*D51</f>
        <v>0</v>
      </c>
    </row>
    <row r="52" spans="1:5" x14ac:dyDescent="0.25">
      <c r="A52" s="295" t="s">
        <v>139</v>
      </c>
      <c r="B52" s="295"/>
      <c r="C52" s="294"/>
      <c r="D52" s="305"/>
      <c r="E52" s="84">
        <f t="shared" si="7"/>
        <v>0</v>
      </c>
    </row>
    <row r="53" spans="1:5" x14ac:dyDescent="0.25">
      <c r="A53" s="295" t="s">
        <v>219</v>
      </c>
      <c r="B53" s="295"/>
      <c r="C53" s="294"/>
      <c r="D53" s="305"/>
      <c r="E53" s="84">
        <f t="shared" si="7"/>
        <v>0</v>
      </c>
    </row>
    <row r="54" spans="1:5" x14ac:dyDescent="0.25">
      <c r="A54" s="295"/>
      <c r="B54" s="295"/>
      <c r="C54" s="294"/>
      <c r="D54" s="305"/>
      <c r="E54" s="84">
        <f t="shared" si="7"/>
        <v>0</v>
      </c>
    </row>
    <row r="55" spans="1:5" x14ac:dyDescent="0.25">
      <c r="A55" s="340" t="s">
        <v>97</v>
      </c>
      <c r="B55" s="293"/>
      <c r="C55" s="294"/>
      <c r="D55" s="305"/>
      <c r="E55" s="84">
        <f>C55*D55</f>
        <v>0</v>
      </c>
    </row>
    <row r="56" spans="1:5" x14ac:dyDescent="0.25">
      <c r="A56" s="295" t="s">
        <v>218</v>
      </c>
      <c r="B56" s="295"/>
      <c r="C56" s="294"/>
      <c r="D56" s="305"/>
      <c r="E56" s="84">
        <f t="shared" ref="E56:E59" si="8">C56*D56</f>
        <v>0</v>
      </c>
    </row>
    <row r="57" spans="1:5" x14ac:dyDescent="0.25">
      <c r="A57" s="295" t="s">
        <v>144</v>
      </c>
      <c r="B57" s="295"/>
      <c r="C57" s="294"/>
      <c r="D57" s="305"/>
      <c r="E57" s="84">
        <f t="shared" si="8"/>
        <v>0</v>
      </c>
    </row>
    <row r="58" spans="1:5" x14ac:dyDescent="0.25">
      <c r="A58" s="295"/>
      <c r="B58" s="295"/>
      <c r="C58" s="294"/>
      <c r="D58" s="305"/>
      <c r="E58" s="84">
        <f t="shared" si="8"/>
        <v>0</v>
      </c>
    </row>
    <row r="59" spans="1:5" x14ac:dyDescent="0.25">
      <c r="A59" s="295"/>
      <c r="B59" s="295"/>
      <c r="C59" s="294"/>
      <c r="D59" s="305"/>
      <c r="E59" s="84">
        <f t="shared" si="8"/>
        <v>0</v>
      </c>
    </row>
    <row r="60" spans="1:5" ht="16.5" thickBot="1" x14ac:dyDescent="0.3">
      <c r="A60" s="386" t="s">
        <v>65</v>
      </c>
      <c r="B60" s="386"/>
      <c r="C60" s="386"/>
      <c r="D60" s="386"/>
      <c r="E60" s="73">
        <f>SUM(E50:E59)</f>
        <v>0</v>
      </c>
    </row>
    <row r="61" spans="1:5" ht="16.5" thickTop="1" x14ac:dyDescent="0.25"/>
    <row r="63" spans="1:5" x14ac:dyDescent="0.25">
      <c r="A63" s="28" t="s">
        <v>63</v>
      </c>
      <c r="B63" s="29"/>
      <c r="C63" s="83"/>
      <c r="D63" s="29"/>
      <c r="E63" s="30"/>
    </row>
    <row r="64" spans="1:5" x14ac:dyDescent="0.25">
      <c r="A64" s="76" t="s">
        <v>78</v>
      </c>
      <c r="B64" s="76" t="s">
        <v>77</v>
      </c>
      <c r="C64" s="71" t="s">
        <v>24</v>
      </c>
      <c r="D64" s="71" t="s">
        <v>25</v>
      </c>
      <c r="E64" s="72" t="s">
        <v>10</v>
      </c>
    </row>
    <row r="65" spans="1:5" x14ac:dyDescent="0.25">
      <c r="A65" s="295" t="s">
        <v>137</v>
      </c>
      <c r="B65" s="293"/>
      <c r="C65" s="294"/>
      <c r="D65" s="305"/>
      <c r="E65" s="84">
        <f>C65*D65</f>
        <v>0</v>
      </c>
    </row>
    <row r="66" spans="1:5" x14ac:dyDescent="0.25">
      <c r="A66" s="295" t="s">
        <v>138</v>
      </c>
      <c r="B66" s="295"/>
      <c r="C66" s="294"/>
      <c r="D66" s="305"/>
      <c r="E66" s="84">
        <f t="shared" ref="E66:E69" si="9">C66*D66</f>
        <v>0</v>
      </c>
    </row>
    <row r="67" spans="1:5" x14ac:dyDescent="0.25">
      <c r="A67" s="295" t="s">
        <v>139</v>
      </c>
      <c r="B67" s="295"/>
      <c r="C67" s="294"/>
      <c r="D67" s="305"/>
      <c r="E67" s="84">
        <f t="shared" si="9"/>
        <v>0</v>
      </c>
    </row>
    <row r="68" spans="1:5" x14ac:dyDescent="0.25">
      <c r="A68" s="295" t="s">
        <v>219</v>
      </c>
      <c r="B68" s="295"/>
      <c r="C68" s="294"/>
      <c r="D68" s="305"/>
      <c r="E68" s="84">
        <f t="shared" si="9"/>
        <v>0</v>
      </c>
    </row>
    <row r="69" spans="1:5" x14ac:dyDescent="0.25">
      <c r="A69" s="295"/>
      <c r="B69" s="295"/>
      <c r="C69" s="294"/>
      <c r="D69" s="305"/>
      <c r="E69" s="84">
        <f t="shared" si="9"/>
        <v>0</v>
      </c>
    </row>
    <row r="70" spans="1:5" x14ac:dyDescent="0.25">
      <c r="A70" s="340" t="s">
        <v>97</v>
      </c>
      <c r="B70" s="293"/>
      <c r="C70" s="294"/>
      <c r="D70" s="305"/>
      <c r="E70" s="84">
        <f>C70*D70</f>
        <v>0</v>
      </c>
    </row>
    <row r="71" spans="1:5" x14ac:dyDescent="0.25">
      <c r="A71" s="295" t="s">
        <v>218</v>
      </c>
      <c r="B71" s="295"/>
      <c r="C71" s="294"/>
      <c r="D71" s="305"/>
      <c r="E71" s="84">
        <f t="shared" ref="E71:E74" si="10">C71*D71</f>
        <v>0</v>
      </c>
    </row>
    <row r="72" spans="1:5" x14ac:dyDescent="0.25">
      <c r="A72" s="295" t="s">
        <v>144</v>
      </c>
      <c r="B72" s="295"/>
      <c r="C72" s="294"/>
      <c r="D72" s="305"/>
      <c r="E72" s="84">
        <f t="shared" si="10"/>
        <v>0</v>
      </c>
    </row>
    <row r="73" spans="1:5" x14ac:dyDescent="0.25">
      <c r="A73" s="295"/>
      <c r="B73" s="295"/>
      <c r="C73" s="294"/>
      <c r="D73" s="305"/>
      <c r="E73" s="84">
        <f t="shared" si="10"/>
        <v>0</v>
      </c>
    </row>
    <row r="74" spans="1:5" x14ac:dyDescent="0.25">
      <c r="A74" s="295"/>
      <c r="B74" s="295"/>
      <c r="C74" s="294"/>
      <c r="D74" s="305"/>
      <c r="E74" s="84">
        <f t="shared" si="10"/>
        <v>0</v>
      </c>
    </row>
    <row r="75" spans="1:5" ht="16.5" thickBot="1" x14ac:dyDescent="0.3">
      <c r="A75" s="382" t="s">
        <v>66</v>
      </c>
      <c r="B75" s="382"/>
      <c r="C75" s="382"/>
      <c r="D75" s="382"/>
      <c r="E75" s="73">
        <f>SUM(E65:E74)</f>
        <v>0</v>
      </c>
    </row>
    <row r="76" spans="1:5" ht="16.5" thickTop="1" x14ac:dyDescent="0.25"/>
    <row r="77" spans="1:5" x14ac:dyDescent="0.25">
      <c r="D77" s="94" t="s">
        <v>27</v>
      </c>
      <c r="E77" s="32">
        <f>E15+E30+E45+E60+E75</f>
        <v>0</v>
      </c>
    </row>
  </sheetData>
  <mergeCells count="6">
    <mergeCell ref="A75:D75"/>
    <mergeCell ref="A3:E3"/>
    <mergeCell ref="A15:D15"/>
    <mergeCell ref="A30:D30"/>
    <mergeCell ref="A45:D45"/>
    <mergeCell ref="A60:D60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B14" sqref="B14"/>
    </sheetView>
  </sheetViews>
  <sheetFormatPr defaultColWidth="8.7109375" defaultRowHeight="15.75" outlineLevelRow="2" x14ac:dyDescent="0.25"/>
  <cols>
    <col min="1" max="1" width="55.7109375" style="1" customWidth="1"/>
    <col min="2" max="6" width="13.7109375" style="1" customWidth="1"/>
    <col min="7" max="7" width="14.7109375" style="2" customWidth="1"/>
    <col min="8" max="8" width="2.7109375" style="2" customWidth="1"/>
    <col min="9" max="9" width="33" style="1" customWidth="1"/>
    <col min="10" max="14" width="11.7109375" style="1" customWidth="1"/>
    <col min="15" max="15" width="14.42578125" style="1" bestFit="1" customWidth="1"/>
    <col min="16" max="16" width="15" style="1" hidden="1" customWidth="1"/>
    <col min="17" max="17" width="12.28515625" style="1" hidden="1" customWidth="1"/>
    <col min="18" max="18" width="11.42578125" style="1" hidden="1" customWidth="1"/>
    <col min="19" max="19" width="3.42578125" style="1" customWidth="1"/>
    <col min="20" max="20" width="28.42578125" style="1" bestFit="1" customWidth="1"/>
    <col min="21" max="21" width="12.7109375" style="1" customWidth="1"/>
    <col min="22" max="22" width="12" style="80" bestFit="1" customWidth="1"/>
    <col min="23" max="23" width="12.7109375" style="1" bestFit="1" customWidth="1"/>
    <col min="24" max="24" width="11.42578125" style="1" bestFit="1" customWidth="1"/>
    <col min="25" max="16384" width="8.7109375" style="1"/>
  </cols>
  <sheetData>
    <row r="1" spans="1:23" s="2" customFormat="1" ht="59.45" customHeight="1" x14ac:dyDescent="0.3">
      <c r="A1" s="405" t="s">
        <v>228</v>
      </c>
      <c r="B1" s="405"/>
      <c r="C1" s="405"/>
      <c r="D1" s="405"/>
      <c r="E1" s="405"/>
      <c r="F1" s="405"/>
      <c r="G1" s="405"/>
      <c r="I1" s="407" t="s">
        <v>18</v>
      </c>
      <c r="J1" s="408"/>
      <c r="K1" s="408"/>
      <c r="L1" s="408"/>
      <c r="M1" s="408"/>
      <c r="N1" s="408"/>
      <c r="O1" s="409"/>
      <c r="U1" s="5"/>
      <c r="V1" s="5"/>
    </row>
    <row r="2" spans="1:23" s="2" customFormat="1" x14ac:dyDescent="0.25">
      <c r="A2" s="406" t="s">
        <v>100</v>
      </c>
      <c r="B2" s="406"/>
      <c r="C2" s="406"/>
      <c r="D2" s="406"/>
      <c r="E2" s="406"/>
      <c r="F2" s="406"/>
      <c r="G2" s="406"/>
      <c r="I2" s="33"/>
      <c r="J2" s="42" t="s">
        <v>28</v>
      </c>
      <c r="K2" s="42"/>
      <c r="L2" s="42"/>
      <c r="M2" s="42"/>
      <c r="N2" s="42"/>
      <c r="O2" s="43" t="s">
        <v>29</v>
      </c>
      <c r="P2" s="1">
        <f>IF(MONTH(J3)&gt;6, 12+7-MONTH(J3), 7-MONTH(J3))</f>
        <v>6</v>
      </c>
      <c r="R2" s="2" t="s">
        <v>129</v>
      </c>
      <c r="T2" s="127" t="s">
        <v>158</v>
      </c>
      <c r="U2" s="308">
        <f>Budget!U1</f>
        <v>0</v>
      </c>
    </row>
    <row r="3" spans="1:23" x14ac:dyDescent="0.25">
      <c r="A3" s="98" t="str">
        <f>"Period of Performance: "&amp;TEXT(J3, "mm/dd/yy")&amp;" - "&amp;TEXT(O3, "mm/dd/yy")&amp;" ["&amp;ROUND(J5,2)&amp; " Year(s)]"</f>
        <v>Period of Performance: 01/00/00 - 01/00/00 [0 Year(s)]</v>
      </c>
      <c r="B3" s="99"/>
      <c r="C3" s="99"/>
      <c r="D3" s="99"/>
      <c r="E3" s="99"/>
      <c r="F3" s="99"/>
      <c r="G3" s="98"/>
      <c r="I3" s="45" t="s">
        <v>52</v>
      </c>
      <c r="J3" s="262">
        <f>Budget!J4</f>
        <v>0</v>
      </c>
      <c r="K3" s="262"/>
      <c r="L3" s="262"/>
      <c r="M3" s="262"/>
      <c r="N3" s="262"/>
      <c r="O3" s="263">
        <f>Budget!O4</f>
        <v>0</v>
      </c>
      <c r="P3" s="1">
        <f>IF(DAY(J3)&gt;1,(P2-1+((DAY(DATE(YEAR(J3),MONTH(J3)+1,0))-DAY(J3))/DAY(DATE(YEAR(J3),MONTH(J3)+1,0)))),P2)</f>
        <v>6</v>
      </c>
      <c r="R3" s="1" t="s">
        <v>127</v>
      </c>
      <c r="T3" s="127" t="s">
        <v>154</v>
      </c>
      <c r="U3" s="309"/>
      <c r="V3" s="310"/>
      <c r="W3" s="170" t="s">
        <v>167</v>
      </c>
    </row>
    <row r="4" spans="1:23" x14ac:dyDescent="0.25">
      <c r="A4" s="410" t="s">
        <v>156</v>
      </c>
      <c r="B4" s="410"/>
      <c r="C4" s="410"/>
      <c r="D4" s="410"/>
      <c r="E4" s="410"/>
      <c r="F4" s="410"/>
      <c r="G4" s="410"/>
      <c r="I4" s="9"/>
      <c r="J4" s="5" t="s">
        <v>80</v>
      </c>
      <c r="K4" s="5"/>
      <c r="L4" s="5"/>
      <c r="M4" s="5"/>
      <c r="N4" s="5"/>
      <c r="O4" s="41" t="s">
        <v>14</v>
      </c>
      <c r="P4" s="1">
        <f>IF(O3-J3&lt;366, P3/((YEAR(O3)-YEAR(J3))*12+MONTH(O3)-MONTH(J3)+1),0)</f>
        <v>6</v>
      </c>
      <c r="R4" s="1" t="s">
        <v>128</v>
      </c>
      <c r="T4" s="5" t="s">
        <v>81</v>
      </c>
      <c r="U4" s="5" t="s">
        <v>82</v>
      </c>
      <c r="V4" s="5" t="s">
        <v>86</v>
      </c>
    </row>
    <row r="5" spans="1:23" s="5" customFormat="1" x14ac:dyDescent="0.25">
      <c r="B5" s="6" t="s">
        <v>6</v>
      </c>
      <c r="C5" s="7" t="s">
        <v>5</v>
      </c>
      <c r="D5" s="7" t="s">
        <v>7</v>
      </c>
      <c r="E5" s="7" t="s">
        <v>8</v>
      </c>
      <c r="F5" s="7" t="s">
        <v>9</v>
      </c>
      <c r="G5" s="7" t="s">
        <v>10</v>
      </c>
      <c r="I5" s="8"/>
      <c r="J5" s="44">
        <f>YEARFRAC(J3, O3)</f>
        <v>0</v>
      </c>
      <c r="K5" s="44"/>
      <c r="L5" s="44"/>
      <c r="M5" s="44"/>
      <c r="N5" s="44"/>
      <c r="O5" s="264">
        <v>0</v>
      </c>
      <c r="T5" s="5" t="s">
        <v>51</v>
      </c>
      <c r="U5" s="5" t="s">
        <v>83</v>
      </c>
      <c r="V5" s="5" t="s">
        <v>126</v>
      </c>
    </row>
    <row r="6" spans="1:23" s="2" customFormat="1" x14ac:dyDescent="0.25">
      <c r="A6" s="98" t="s">
        <v>3</v>
      </c>
      <c r="B6" s="46"/>
      <c r="C6" s="46"/>
      <c r="D6" s="46"/>
      <c r="E6" s="46"/>
      <c r="F6" s="46"/>
      <c r="G6" s="46"/>
      <c r="I6" s="9"/>
      <c r="J6" s="5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10"/>
      <c r="T6" s="77"/>
      <c r="U6" s="5"/>
      <c r="V6" s="5"/>
    </row>
    <row r="7" spans="1:23" outlineLevel="2" x14ac:dyDescent="0.25">
      <c r="A7" s="22" t="s">
        <v>84</v>
      </c>
      <c r="B7" s="47"/>
      <c r="C7" s="48"/>
      <c r="D7" s="48"/>
      <c r="E7" s="48"/>
      <c r="F7" s="48"/>
      <c r="G7" s="46"/>
      <c r="I7" s="89" t="s">
        <v>132</v>
      </c>
      <c r="J7" s="5">
        <f>IF(U11="F",J8*12,SUM(J9*9,J10))</f>
        <v>0</v>
      </c>
      <c r="K7" s="5">
        <f>IF(U11="F",K8*12,SUM(K9*9,K10))</f>
        <v>0</v>
      </c>
      <c r="L7" s="5">
        <f>IF(U11="F",L8*12,SUM(L9*9,L10))</f>
        <v>0</v>
      </c>
      <c r="M7" s="5">
        <f>IF(U11="F",M8*12,SUM(M9*9,M10))</f>
        <v>0</v>
      </c>
      <c r="N7" s="5">
        <f>IF(U11="F",N8*12,SUM(N9*9,N10))</f>
        <v>0</v>
      </c>
      <c r="O7" s="41" t="s">
        <v>51</v>
      </c>
      <c r="P7" s="134" t="s">
        <v>130</v>
      </c>
      <c r="Q7" s="134" t="s">
        <v>131</v>
      </c>
      <c r="R7" s="11"/>
      <c r="S7" s="12"/>
      <c r="T7" s="78"/>
      <c r="U7" s="80"/>
    </row>
    <row r="8" spans="1:23" outlineLevel="2" x14ac:dyDescent="0.25">
      <c r="A8" s="13" t="e">
        <f>ROUND(P8*100, 2)&amp;"% Avg. Fiscal Effort, "&amp;ROUND(Q8, 2)&amp;" Avg. Calendar Months"</f>
        <v>#DIV/0!</v>
      </c>
      <c r="B8" s="47">
        <f>O8*J8</f>
        <v>0</v>
      </c>
      <c r="C8" s="47">
        <f>IF($J$5&gt;1,IF($U$2&lt;&gt;0,IF(O8*(1+$O$5)&lt;=$U$2,O8*K8*(1+$O$5),$U$2*K8),O8*K8*(1+$O$5)),0)</f>
        <v>0</v>
      </c>
      <c r="D8" s="47">
        <f>IF($J$5&gt;2,IF($U$2&lt;&gt;0,IF(O8*(1+$O$5)^2&lt;=$U$2,O8*L8*(1+$O$5)^2,$U$2*L8),O8*L8*(1+$O$5)^2),0)</f>
        <v>0</v>
      </c>
      <c r="E8" s="47">
        <f>IF($J$5&gt;3,IF($U$2&lt;&gt;0,IF(O8*(1+$O$5)^3&lt;=$U$2,O8*M8*(1+$O$5)^3,$U$2*M8),O8*M8*(1+$O$5)^3),0)</f>
        <v>0</v>
      </c>
      <c r="F8" s="47">
        <f>IF($J$5&gt;4,IF($U$2&lt;&gt;0,IF(O8*(1+$O$5)^4&lt;=$U$2,O8*N8*(1+$O$5)^4,$U$2*N8),O8*N8*(1+$O$5)^4),0)</f>
        <v>0</v>
      </c>
      <c r="G8" s="46">
        <f>SUM(B8:F8)</f>
        <v>0</v>
      </c>
      <c r="H8" s="14"/>
      <c r="I8" s="89" t="s">
        <v>26</v>
      </c>
      <c r="J8" s="265">
        <v>0</v>
      </c>
      <c r="K8" s="265">
        <f>IF($J$5&gt;1,J8,0)</f>
        <v>0</v>
      </c>
      <c r="L8" s="265">
        <f>IF($J$5&gt;2,K8,0)</f>
        <v>0</v>
      </c>
      <c r="M8" s="265">
        <f>IF($J$5&gt;3,L8,0)</f>
        <v>0</v>
      </c>
      <c r="N8" s="265">
        <f>IF($J$5&gt;4,M8,0)</f>
        <v>0</v>
      </c>
      <c r="O8" s="128">
        <f>IF(U11="F",IF($U$2&lt;&gt;0,IF(T11&gt;$U$2,$U$2,T11),T11),0)</f>
        <v>0</v>
      </c>
      <c r="P8" s="135" t="e">
        <f>SUM(J7:N7)/(ROUNDUP($J$5,0)*12)</f>
        <v>#DIV/0!</v>
      </c>
      <c r="Q8" s="136" t="e">
        <f>(SUM(J7:N7)/(CEILING($J$5*12,12)))*12</f>
        <v>#DIV/0!</v>
      </c>
      <c r="T8" s="78"/>
      <c r="U8" s="80"/>
    </row>
    <row r="9" spans="1:23" outlineLevel="2" x14ac:dyDescent="0.25">
      <c r="A9" s="376" t="e">
        <f>ROUND(P8*100,2)&amp;"% Annualized Effort, "&amp;ROUND(Q9,2)&amp;" Avg. Academic Months
"&amp;IF(SUM(J10:N10)&gt;0," and "&amp;Q10 &amp;" Avg. Summer Months", "")</f>
        <v>#DIV/0!</v>
      </c>
      <c r="B9" s="47">
        <f>J9*O9</f>
        <v>0</v>
      </c>
      <c r="C9" s="47">
        <f>IF($J$5&gt;1,IF($U$2&lt;&gt;0,IF(O9*(1+$O$5)&lt;=$U$2*0.75,O9*K9*(1+$O$5),$U$2*0.75*K9),O9*K9*(1+$O$5)),0)</f>
        <v>0</v>
      </c>
      <c r="D9" s="47">
        <f>IF($J$5&gt;2,IF($U$2&lt;&gt;0,IF(O9*(1+$O$5)^2&lt;=$U$2*0.75,O9*L9*(1+$O$5)^2,$U$2*0.75*L9),O9*L9*(1+$O$5)^2),0)</f>
        <v>0</v>
      </c>
      <c r="E9" s="47">
        <f>IF($J$5&gt;3,IF($U$2&lt;&gt;0,IF(O9*(1+$O$5)^3&lt;=$U$2*0.75,O9*M9*(1+$O$5)^3,$U$2*0.75*M9),O9*M9*(1+$O$5)^3),0)</f>
        <v>0</v>
      </c>
      <c r="F9" s="47">
        <f>IF($J$5&gt;4,IF($U$2&lt;&gt;0,IF(O9*(1+$O$5)^4&lt;=$U$2*0.75,O9*N9*(1+$O$5)^4,$U$2*0.75*N9),O9*N9*(1+$O$5)^4),0)</f>
        <v>0</v>
      </c>
      <c r="G9" s="46">
        <f>SUM(B9:F9)</f>
        <v>0</v>
      </c>
      <c r="H9" s="14"/>
      <c r="I9" s="89" t="s">
        <v>15</v>
      </c>
      <c r="J9" s="265">
        <v>0</v>
      </c>
      <c r="K9" s="265">
        <f t="shared" ref="K9:K10" si="0">IF($J$5&gt;1,J9,0)</f>
        <v>0</v>
      </c>
      <c r="L9" s="265">
        <f t="shared" ref="L9:L10" si="1">IF($J$5&gt;2,K9,0)</f>
        <v>0</v>
      </c>
      <c r="M9" s="265">
        <f t="shared" ref="M9:M10" si="2">IF($J$5&gt;3,L9,0)</f>
        <v>0</v>
      </c>
      <c r="N9" s="265">
        <f t="shared" ref="N9:N10" si="3">IF($J$5&gt;4,M9,0)</f>
        <v>0</v>
      </c>
      <c r="O9" s="128">
        <f>IF(U11="A",IF($U$2&lt;&gt;0,IF(T11&gt;($U$2/12*9),($U$2/12*9),T11),T11),0)</f>
        <v>0</v>
      </c>
      <c r="P9" s="143"/>
      <c r="Q9" s="137" t="e">
        <f>((SUM(J7:N7)-SUM(J10:N10))/(CEILING($J$5*9,9)))*9</f>
        <v>#DIV/0!</v>
      </c>
      <c r="R9" s="12"/>
      <c r="S9" s="12"/>
      <c r="T9" s="78"/>
      <c r="U9" s="80"/>
    </row>
    <row r="10" spans="1:23" outlineLevel="2" x14ac:dyDescent="0.25">
      <c r="A10" s="376"/>
      <c r="B10" s="47">
        <f>J10/3*O10</f>
        <v>0</v>
      </c>
      <c r="C10" s="47">
        <f>IF($J$5&gt;1,IF($U$2&lt;&gt;0,IF(O10*(1+$O$5)&lt;=$U$2*0.25,O10*K10/3*(1+$O$5),$U$2*0.25*K10/3),O10*K10/3*(1+$O$5)),0)</f>
        <v>0</v>
      </c>
      <c r="D10" s="47">
        <f>IF($J$5&gt;2,IF($U$2&lt;&gt;0,IF(O10*(1+$O$5)^2&lt;=$U$2*0.25,O10*L10/3*(1+$O$5)^2,$U$2*0.25*L10/3),O10*L10/3*(1+$O$5)^2),0)</f>
        <v>0</v>
      </c>
      <c r="E10" s="47">
        <f>IF($J$5&gt;3,IF($U$2&lt;&gt;0,IF(O10*(1+$O$5)^3&lt;=$U$2*0.25,O10*M10/3*(1+$O$5)^3,$U$2*0.25*M10/3),O10*M10/3*(1+$O$5)^3),0)</f>
        <v>0</v>
      </c>
      <c r="F10" s="47">
        <f>IF($J$5&gt;4,IF($U$2&lt;&gt;0,IF(O10*(1+$O$5)^4&lt;=$U$2*0.25,O10*N10/3*(1+$O$5)^4,$U$2*0.25*N10/3),O10*N10/3*(1+$O$5)^4),0)</f>
        <v>0</v>
      </c>
      <c r="G10" s="46">
        <f>SUM(B10:F10)</f>
        <v>0</v>
      </c>
      <c r="H10" s="14"/>
      <c r="I10" s="89" t="s">
        <v>17</v>
      </c>
      <c r="J10" s="266">
        <v>0</v>
      </c>
      <c r="K10" s="266">
        <f t="shared" si="0"/>
        <v>0</v>
      </c>
      <c r="L10" s="266">
        <f t="shared" si="1"/>
        <v>0</v>
      </c>
      <c r="M10" s="266">
        <f t="shared" si="2"/>
        <v>0</v>
      </c>
      <c r="N10" s="266">
        <f t="shared" si="3"/>
        <v>0</v>
      </c>
      <c r="O10" s="128">
        <f>IF(U11="A",IF($U$2&lt;&gt;0,IF(T11/9*3&gt;($U$2/12*3),($U$2/12*3),T11/9*3),T11/9*3),0)</f>
        <v>0</v>
      </c>
      <c r="P10" s="138"/>
      <c r="Q10" s="138" t="e">
        <f>((SUM(J7:N7)-SUM(J9:N9)*9)/(CEILING($J$5*3,3)))*3</f>
        <v>#DIV/0!</v>
      </c>
      <c r="R10" s="12"/>
      <c r="S10" s="12"/>
      <c r="U10" s="80"/>
    </row>
    <row r="11" spans="1:23" outlineLevel="2" x14ac:dyDescent="0.25">
      <c r="A11" s="18"/>
      <c r="B11" s="47"/>
      <c r="C11" s="47"/>
      <c r="D11" s="48"/>
      <c r="E11" s="48"/>
      <c r="F11" s="48"/>
      <c r="G11" s="49"/>
      <c r="H11" s="19"/>
      <c r="I11" s="89" t="s">
        <v>111</v>
      </c>
      <c r="J11" s="130">
        <f>SUM(B8:B10)*$V11</f>
        <v>0</v>
      </c>
      <c r="K11" s="130">
        <f t="shared" ref="K11:N11" si="4">SUM(C8:C10)*$V11</f>
        <v>0</v>
      </c>
      <c r="L11" s="130">
        <f t="shared" si="4"/>
        <v>0</v>
      </c>
      <c r="M11" s="130">
        <f t="shared" si="4"/>
        <v>0</v>
      </c>
      <c r="N11" s="130">
        <f t="shared" si="4"/>
        <v>0</v>
      </c>
      <c r="O11" s="129"/>
      <c r="P11" s="138"/>
      <c r="Q11" s="138"/>
      <c r="R11" s="12"/>
      <c r="S11" s="12"/>
      <c r="T11" s="311">
        <v>0</v>
      </c>
      <c r="U11" s="312"/>
      <c r="V11" s="131">
        <f>$J$79</f>
        <v>0</v>
      </c>
    </row>
    <row r="12" spans="1:23" outlineLevel="2" x14ac:dyDescent="0.25">
      <c r="A12" s="18"/>
      <c r="B12" s="47"/>
      <c r="C12" s="47"/>
      <c r="D12" s="48"/>
      <c r="E12" s="48"/>
      <c r="F12" s="48"/>
      <c r="G12" s="49"/>
      <c r="H12" s="19"/>
      <c r="I12" s="115"/>
      <c r="J12" s="79"/>
      <c r="K12" s="79"/>
      <c r="L12" s="79"/>
      <c r="M12" s="79"/>
      <c r="N12" s="79"/>
      <c r="O12" s="21"/>
      <c r="P12" s="138"/>
      <c r="Q12" s="138"/>
      <c r="R12" s="12"/>
      <c r="S12" s="12"/>
      <c r="T12" s="78"/>
      <c r="U12" s="80"/>
    </row>
    <row r="13" spans="1:23" outlineLevel="2" x14ac:dyDescent="0.25">
      <c r="A13" s="22" t="s">
        <v>84</v>
      </c>
      <c r="B13" s="47"/>
      <c r="C13" s="48"/>
      <c r="D13" s="48"/>
      <c r="E13" s="48"/>
      <c r="F13" s="48"/>
      <c r="G13" s="46"/>
      <c r="I13" s="89" t="s">
        <v>132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1" t="s">
        <v>51</v>
      </c>
      <c r="P13" s="134" t="s">
        <v>130</v>
      </c>
      <c r="Q13" s="134" t="s">
        <v>131</v>
      </c>
      <c r="R13" s="11"/>
      <c r="S13" s="12"/>
      <c r="T13" s="78"/>
      <c r="U13" s="80"/>
    </row>
    <row r="14" spans="1:23" outlineLevel="2" x14ac:dyDescent="0.25">
      <c r="A14" s="13" t="e">
        <f>ROUND(P14*100, 2)&amp;"% Avg. Fiscal Effort, "&amp;ROUND(Q14, 2)&amp;" Avg. Calendar Months"</f>
        <v>#DIV/0!</v>
      </c>
      <c r="B14" s="47">
        <f>O14*J14</f>
        <v>0</v>
      </c>
      <c r="C14" s="47">
        <f>IF($J$5&gt;1,IF($U$2&lt;&gt;0,IF(O14*(1+$O$5)&lt;=$U$2,O14*K14*(1+$O$5),$U$2*K14),O14*K14*(1+$O$5)),0)</f>
        <v>0</v>
      </c>
      <c r="D14" s="47">
        <f>IF($J$5&gt;2,IF($U$2&lt;&gt;0,IF(O14*(1+$O$5)^2&lt;=$U$2,O14*L14*(1+$O$5)^2,$U$2*L14),O14*L14*(1+$O$5)^2),0)</f>
        <v>0</v>
      </c>
      <c r="E14" s="47">
        <f>IF($J$5&gt;3,IF($U$2&lt;&gt;0,IF(O14*(1+$O$5)^3&lt;=$U$2,O14*M14*(1+$O$5)^3,$U$2*M14),O14*M14*(1+$O$5)^3),0)</f>
        <v>0</v>
      </c>
      <c r="F14" s="47">
        <f>IF($J$5&gt;4,IF($U$2&lt;&gt;0,IF(O14*(1+$O$5)^4&lt;=$U$2,O14*N14*(1+$O$5)^4,$U$2*N14),O14*N14*(1+$O$5)^4),0)</f>
        <v>0</v>
      </c>
      <c r="G14" s="46">
        <f>SUM(B14:F14)</f>
        <v>0</v>
      </c>
      <c r="H14" s="14"/>
      <c r="I14" s="89" t="s">
        <v>26</v>
      </c>
      <c r="J14" s="265">
        <v>0</v>
      </c>
      <c r="K14" s="265">
        <f>IF($J$5&gt;1,J14,0)</f>
        <v>0</v>
      </c>
      <c r="L14" s="265">
        <f>IF($J$5&gt;2,K14,0)</f>
        <v>0</v>
      </c>
      <c r="M14" s="265">
        <f>IF($J$5&gt;3,L14,0)</f>
        <v>0</v>
      </c>
      <c r="N14" s="265">
        <f>IF($J$5&gt;4,M14,0)</f>
        <v>0</v>
      </c>
      <c r="O14" s="128">
        <f>IF(U17="F",IF($U$2&lt;&gt;0,IF(T17&gt;$U$2,$U$2,T17),T17),0)</f>
        <v>0</v>
      </c>
      <c r="P14" s="135" t="e">
        <f>SUM(J13:N13)/(ROUNDUP($J$5,0)*12)</f>
        <v>#DIV/0!</v>
      </c>
      <c r="Q14" s="136" t="e">
        <f>(SUM(J13:N13)/(CEILING($J$5*12,12)))*12</f>
        <v>#DIV/0!</v>
      </c>
      <c r="T14" s="78"/>
      <c r="U14" s="80"/>
    </row>
    <row r="15" spans="1:23" outlineLevel="2" x14ac:dyDescent="0.25">
      <c r="A15" s="376" t="e">
        <f>ROUND(P14*100,2)&amp;"% Annualized Effort, "&amp;ROUND(Q15,2)&amp;" Avg. Academic Months
"&amp;IF(SUM(J16:N16)&gt;0," and "&amp;Q16 &amp;" Avg. Summer Months", "")</f>
        <v>#DIV/0!</v>
      </c>
      <c r="B15" s="47">
        <f>J15*O15</f>
        <v>0</v>
      </c>
      <c r="C15" s="47">
        <f>IF($J$5&gt;1,IF($U$2&lt;&gt;0,IF(O15*(1+$O$5)&lt;=$U$2*0.75,O15*K15*(1+$O$5),$U$2*0.75*K15),O15*K15*(1+$O$5)),0)</f>
        <v>0</v>
      </c>
      <c r="D15" s="47">
        <f>IF($J$5&gt;2,IF($U$2&lt;&gt;0,IF(O15*(1+$O$5)^2&lt;=$U$2*0.75,O15*L15*(1+$O$5)^2,$U$2*0.75*L15),O15*L15*(1+$O$5)^2),0)</f>
        <v>0</v>
      </c>
      <c r="E15" s="47">
        <f>IF($J$5&gt;3,IF($U$2&lt;&gt;0,IF(O15*(1+$O$5)^3&lt;=$U$2*0.75,O15*M15*(1+$O$5)^3,$U$2*0.75*M15),O15*M15*(1+$O$5)^3),0)</f>
        <v>0</v>
      </c>
      <c r="F15" s="47">
        <f>IF($J$5&gt;4,IF($U$2&lt;&gt;0,IF(O15*(1+$O$5)^4&lt;=$U$2*0.75,O15*N15*(1+$O$5)^4,$U$2*0.75*N15),O15*N15*(1+$O$5)^4),0)</f>
        <v>0</v>
      </c>
      <c r="G15" s="46">
        <f>SUM(B15:F15)</f>
        <v>0</v>
      </c>
      <c r="H15" s="14"/>
      <c r="I15" s="89" t="s">
        <v>15</v>
      </c>
      <c r="J15" s="265">
        <v>0</v>
      </c>
      <c r="K15" s="265">
        <f t="shared" ref="K15:K16" si="5">IF($J$5&gt;1,J15,0)</f>
        <v>0</v>
      </c>
      <c r="L15" s="265">
        <f t="shared" ref="L15:L16" si="6">IF($J$5&gt;2,K15,0)</f>
        <v>0</v>
      </c>
      <c r="M15" s="265">
        <f t="shared" ref="M15:M16" si="7">IF($J$5&gt;3,L15,0)</f>
        <v>0</v>
      </c>
      <c r="N15" s="265">
        <f t="shared" ref="N15:N16" si="8">IF($J$5&gt;4,M15,0)</f>
        <v>0</v>
      </c>
      <c r="O15" s="128">
        <f>IF(U17="A",IF($U$2&lt;&gt;0,IF(T17&gt;($U$2/12*9),($U$2/12*9),T17),T17),0)</f>
        <v>0</v>
      </c>
      <c r="P15" s="143"/>
      <c r="Q15" s="137" t="e">
        <f>((SUM(J13:N13)-SUM(J16:N16))/(CEILING($J$5*9,9)))*9</f>
        <v>#DIV/0!</v>
      </c>
      <c r="R15" s="12"/>
      <c r="S15" s="12"/>
      <c r="T15" s="78"/>
      <c r="U15" s="80"/>
    </row>
    <row r="16" spans="1:23" outlineLevel="2" x14ac:dyDescent="0.25">
      <c r="A16" s="376"/>
      <c r="B16" s="47">
        <f>J16/3*O16</f>
        <v>0</v>
      </c>
      <c r="C16" s="47">
        <f>IF($J$5&gt;1,IF($U$2&lt;&gt;0,IF(O16*(1+$O$5)&lt;=$U$2*0.25,O16*K16/3*(1+$O$5),$U$2*0.25*K16/3),O16*K16/3*(1+$O$5)),0)</f>
        <v>0</v>
      </c>
      <c r="D16" s="47">
        <f>IF($J$5&gt;2,IF($U$2&lt;&gt;0,IF(O16*(1+$O$5)^2&lt;=$U$2*0.25,O16*L16/3*(1+$O$5)^2,$U$2*0.25*L16/3),O16*L16/3*(1+$O$5)^2),0)</f>
        <v>0</v>
      </c>
      <c r="E16" s="47">
        <f>IF($J$5&gt;3,IF($U$2&lt;&gt;0,IF(O16*(1+$O$5)^3&lt;=$U$2*0.25,O16*M16/3*(1+$O$5)^3,$U$2*0.25*M16/3),O16*M16/3*(1+$O$5)^3),0)</f>
        <v>0</v>
      </c>
      <c r="F16" s="47">
        <f>IF($J$5&gt;4,IF($U$2&lt;&gt;0,IF(O16*(1+$O$5)^4&lt;=$U$2*0.25,O16*N16/3*(1+$O$5)^4,$U$2*0.25*N16/3),O16*N16/3*(1+$O$5)^4),0)</f>
        <v>0</v>
      </c>
      <c r="G16" s="46">
        <f>SUM(B16:F16)</f>
        <v>0</v>
      </c>
      <c r="H16" s="14"/>
      <c r="I16" s="89" t="s">
        <v>17</v>
      </c>
      <c r="J16" s="266">
        <v>0</v>
      </c>
      <c r="K16" s="266">
        <f t="shared" si="5"/>
        <v>0</v>
      </c>
      <c r="L16" s="266">
        <f t="shared" si="6"/>
        <v>0</v>
      </c>
      <c r="M16" s="266">
        <f t="shared" si="7"/>
        <v>0</v>
      </c>
      <c r="N16" s="266">
        <f t="shared" si="8"/>
        <v>0</v>
      </c>
      <c r="O16" s="128">
        <f>IF(U17="A",IF($U$2&lt;&gt;0,IF(T17/9*3&gt;($U$2/12*3),($U$2/12*3),T17/9*3),T17/9*3),0)</f>
        <v>0</v>
      </c>
      <c r="P16" s="138"/>
      <c r="Q16" s="138" t="e">
        <f>((SUM(J13:N13)-SUM(J15:N15)*9)/(CEILING($J$5*3,3)))*3</f>
        <v>#DIV/0!</v>
      </c>
      <c r="R16" s="12"/>
      <c r="S16" s="12"/>
      <c r="U16" s="80"/>
    </row>
    <row r="17" spans="1:22" outlineLevel="2" x14ac:dyDescent="0.25">
      <c r="A17" s="18"/>
      <c r="B17" s="47"/>
      <c r="C17" s="47"/>
      <c r="D17" s="48"/>
      <c r="E17" s="48"/>
      <c r="F17" s="48"/>
      <c r="G17" s="49"/>
      <c r="H17" s="19"/>
      <c r="I17" s="89" t="s">
        <v>111</v>
      </c>
      <c r="J17" s="130">
        <f>SUM(B14:B16)*$V17</f>
        <v>0</v>
      </c>
      <c r="K17" s="130">
        <f t="shared" ref="K17:N17" si="9">SUM(C14:C16)*$V17</f>
        <v>0</v>
      </c>
      <c r="L17" s="130">
        <f t="shared" si="9"/>
        <v>0</v>
      </c>
      <c r="M17" s="130">
        <f t="shared" si="9"/>
        <v>0</v>
      </c>
      <c r="N17" s="130">
        <f t="shared" si="9"/>
        <v>0</v>
      </c>
      <c r="O17" s="129"/>
      <c r="P17" s="138"/>
      <c r="Q17" s="138"/>
      <c r="R17" s="12"/>
      <c r="S17" s="12"/>
      <c r="T17" s="311">
        <v>0</v>
      </c>
      <c r="U17" s="312"/>
      <c r="V17" s="131">
        <f>$J$79</f>
        <v>0</v>
      </c>
    </row>
    <row r="18" spans="1:22" outlineLevel="2" x14ac:dyDescent="0.25">
      <c r="A18" s="18"/>
      <c r="B18" s="47"/>
      <c r="C18" s="47"/>
      <c r="D18" s="48"/>
      <c r="E18" s="48"/>
      <c r="F18" s="48"/>
      <c r="G18" s="49"/>
      <c r="H18" s="19"/>
      <c r="I18" s="115"/>
      <c r="J18" s="79"/>
      <c r="K18" s="79"/>
      <c r="L18" s="79"/>
      <c r="M18" s="79"/>
      <c r="N18" s="79"/>
      <c r="O18" s="21"/>
      <c r="P18" s="138"/>
      <c r="Q18" s="138"/>
      <c r="R18" s="12"/>
      <c r="S18" s="12"/>
      <c r="T18" s="78"/>
      <c r="U18" s="80"/>
    </row>
    <row r="19" spans="1:22" outlineLevel="2" x14ac:dyDescent="0.25">
      <c r="A19" s="22" t="s">
        <v>84</v>
      </c>
      <c r="B19" s="47"/>
      <c r="C19" s="48"/>
      <c r="D19" s="48"/>
      <c r="E19" s="48"/>
      <c r="F19" s="48"/>
      <c r="G19" s="46"/>
      <c r="I19" s="89" t="s">
        <v>132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1" t="s">
        <v>51</v>
      </c>
      <c r="P19" s="134" t="s">
        <v>130</v>
      </c>
      <c r="Q19" s="134" t="s">
        <v>131</v>
      </c>
      <c r="R19" s="11"/>
      <c r="S19" s="12"/>
      <c r="T19" s="78"/>
      <c r="U19" s="80"/>
    </row>
    <row r="20" spans="1:22" outlineLevel="2" x14ac:dyDescent="0.25">
      <c r="A20" s="13" t="e">
        <f>ROUND(P20*100, 2)&amp;"% Avg. Fiscal Effort, "&amp;ROUND(Q20, 2)&amp;" Avg. Calendar Months"</f>
        <v>#DIV/0!</v>
      </c>
      <c r="B20" s="47">
        <f>O20*J20</f>
        <v>0</v>
      </c>
      <c r="C20" s="47">
        <f>IF($J$5&gt;1,IF($U$2&lt;&gt;0,IF(O20*(1+$O$5)&lt;=$U$2,O20*K20*(1+$O$5),$U$2*K20),O20*K20*(1+$O$5)),0)</f>
        <v>0</v>
      </c>
      <c r="D20" s="47">
        <f>IF($J$5&gt;2,IF($U$2&lt;&gt;0,IF(O20*(1+$O$5)^2&lt;=$U$2,O20*L20*(1+$O$5)^2,$U$2*L20),O20*L20*(1+$O$5)^2),0)</f>
        <v>0</v>
      </c>
      <c r="E20" s="47">
        <f>IF($J$5&gt;3,IF($U$2&lt;&gt;0,IF(O20*(1+$O$5)^3&lt;=$U$2,O20*M20*(1+$O$5)^3,$U$2*M20),O20*M20*(1+$O$5)^3),0)</f>
        <v>0</v>
      </c>
      <c r="F20" s="47">
        <f>IF($J$5&gt;4,IF($U$2&lt;&gt;0,IF(O20*(1+$O$5)^4&lt;=$U$2,O20*N20*(1+$O$5)^4,$U$2*N20),O20*N20*(1+$O$5)^4),0)</f>
        <v>0</v>
      </c>
      <c r="G20" s="46">
        <f>SUM(B20:F20)</f>
        <v>0</v>
      </c>
      <c r="H20" s="14"/>
      <c r="I20" s="89" t="s">
        <v>26</v>
      </c>
      <c r="J20" s="265">
        <v>0</v>
      </c>
      <c r="K20" s="265">
        <f>IF($J$5&gt;1,J20,0)</f>
        <v>0</v>
      </c>
      <c r="L20" s="265">
        <f>IF($J$5&gt;2,K20,0)</f>
        <v>0</v>
      </c>
      <c r="M20" s="265">
        <f>IF($J$5&gt;3,L20,0)</f>
        <v>0</v>
      </c>
      <c r="N20" s="265">
        <f>IF($J$5&gt;4,M20,0)</f>
        <v>0</v>
      </c>
      <c r="O20" s="128">
        <f>IF(U23="F",IF($U$2&lt;&gt;0,IF(T23&gt;$U$2,$U$2,T23),T23),0)</f>
        <v>0</v>
      </c>
      <c r="P20" s="135" t="e">
        <f>SUM(J19:N19)/(ROUNDUP($J$5,0)*12)</f>
        <v>#DIV/0!</v>
      </c>
      <c r="Q20" s="136" t="e">
        <f>(SUM(J19:N19)/(CEILING($J$5*12,12)))*12</f>
        <v>#DIV/0!</v>
      </c>
      <c r="T20" s="78"/>
      <c r="U20" s="80"/>
    </row>
    <row r="21" spans="1:22" outlineLevel="2" x14ac:dyDescent="0.25">
      <c r="A21" s="376" t="e">
        <f>ROUND(P20*100,2)&amp;"% Annualized Effort, "&amp;ROUND(Q21,2)&amp;" Avg. Academic Months
"&amp;IF(SUM(J22:N22)&gt;0," and "&amp;Q22 &amp;" Avg. Summer Months", "")</f>
        <v>#DIV/0!</v>
      </c>
      <c r="B21" s="47">
        <f>J21*O21</f>
        <v>0</v>
      </c>
      <c r="C21" s="47">
        <f>IF($J$5&gt;1,IF($U$2&lt;&gt;0,IF(O21*(1+$O$5)&lt;=$U$2*0.75,O21*K21*(1+$O$5),$U$2*0.75*K21),O21*K21*(1+$O$5)),0)</f>
        <v>0</v>
      </c>
      <c r="D21" s="47">
        <f>IF($J$5&gt;2,IF($U$2&lt;&gt;0,IF(O21*(1+$O$5)^2&lt;=$U$2*0.75,O21*L21*(1+$O$5)^2,$U$2*0.75*L21),O21*L21*(1+$O$5)^2),0)</f>
        <v>0</v>
      </c>
      <c r="E21" s="47">
        <f>IF($J$5&gt;3,IF($U$2&lt;&gt;0,IF(O21*(1+$O$5)^3&lt;=$U$2*0.75,O21*M21*(1+$O$5)^3,$U$2*0.75*M21),O21*M21*(1+$O$5)^3),0)</f>
        <v>0</v>
      </c>
      <c r="F21" s="47">
        <f>IF($J$5&gt;4,IF($U$2&lt;&gt;0,IF(O21*(1+$O$5)^4&lt;=$U$2*0.75,O21*N21*(1+$O$5)^4,$U$2*0.75*N21),O21*N21*(1+$O$5)^4),0)</f>
        <v>0</v>
      </c>
      <c r="G21" s="46">
        <f>SUM(B21:F21)</f>
        <v>0</v>
      </c>
      <c r="H21" s="14"/>
      <c r="I21" s="89" t="s">
        <v>15</v>
      </c>
      <c r="J21" s="265">
        <v>0</v>
      </c>
      <c r="K21" s="265">
        <f t="shared" ref="K21:K22" si="10">IF($J$5&gt;1,J21,0)</f>
        <v>0</v>
      </c>
      <c r="L21" s="265">
        <f t="shared" ref="L21:L22" si="11">IF($J$5&gt;2,K21,0)</f>
        <v>0</v>
      </c>
      <c r="M21" s="265">
        <f t="shared" ref="M21:M22" si="12">IF($J$5&gt;3,L21,0)</f>
        <v>0</v>
      </c>
      <c r="N21" s="265">
        <f t="shared" ref="N21:N22" si="13">IF($J$5&gt;4,M21,0)</f>
        <v>0</v>
      </c>
      <c r="O21" s="128">
        <f>IF(U23="A",IF($U$2&lt;&gt;0,IF(T23&gt;($U$2/12*9),($U$2/12*9),T23),T23),0)</f>
        <v>0</v>
      </c>
      <c r="P21" s="143"/>
      <c r="Q21" s="137" t="e">
        <f>((SUM(J19:N19)-SUM(J22:N22))/(CEILING($J$5*9,9)))*9</f>
        <v>#DIV/0!</v>
      </c>
      <c r="R21" s="12"/>
      <c r="S21" s="12"/>
      <c r="T21" s="78"/>
      <c r="U21" s="80"/>
    </row>
    <row r="22" spans="1:22" outlineLevel="2" x14ac:dyDescent="0.25">
      <c r="A22" s="376"/>
      <c r="B22" s="47">
        <f>J22/3*O22</f>
        <v>0</v>
      </c>
      <c r="C22" s="47">
        <f>IF($J$5&gt;1,IF($U$2&lt;&gt;0,IF(O22*(1+$O$5)&lt;=$U$2*0.25,O22*K22/3*(1+$O$5),$U$2*0.25*K22/3),O22*K22/3*(1+$O$5)),0)</f>
        <v>0</v>
      </c>
      <c r="D22" s="47">
        <f>IF($J$5&gt;2,IF($U$2&lt;&gt;0,IF(O22*(1+$O$5)^2&lt;=$U$2*0.25,O22*L22/3*(1+$O$5)^2,$U$2*0.25*L22/3),O22*L22/3*(1+$O$5)^2),0)</f>
        <v>0</v>
      </c>
      <c r="E22" s="47">
        <f>IF($J$5&gt;3,IF($U$2&lt;&gt;0,IF(O22*(1+$O$5)^3&lt;=$U$2*0.25,O22*M22/3*(1+$O$5)^3,$U$2*0.25*M22/3),O22*M22/3*(1+$O$5)^3),0)</f>
        <v>0</v>
      </c>
      <c r="F22" s="47">
        <f>IF($J$5&gt;4,IF($U$2&lt;&gt;0,IF(O22*(1+$O$5)^4&lt;=$U$2*0.25,O22*N22/3*(1+$O$5)^4,$U$2*0.25*N22/3),O22*N22/3*(1+$O$5)^4),0)</f>
        <v>0</v>
      </c>
      <c r="G22" s="46">
        <f>SUM(B22:F22)</f>
        <v>0</v>
      </c>
      <c r="H22" s="14"/>
      <c r="I22" s="89" t="s">
        <v>17</v>
      </c>
      <c r="J22" s="266">
        <v>0</v>
      </c>
      <c r="K22" s="266">
        <f t="shared" si="10"/>
        <v>0</v>
      </c>
      <c r="L22" s="266">
        <f t="shared" si="11"/>
        <v>0</v>
      </c>
      <c r="M22" s="266">
        <f t="shared" si="12"/>
        <v>0</v>
      </c>
      <c r="N22" s="266">
        <f t="shared" si="13"/>
        <v>0</v>
      </c>
      <c r="O22" s="128">
        <f>IF(U23="A",IF($U$2&lt;&gt;0,IF(T23/9*3&gt;($U$2/12*3),($U$2/12*3),T23/9*3),T23/9*3),0)</f>
        <v>0</v>
      </c>
      <c r="P22" s="138"/>
      <c r="Q22" s="138" t="e">
        <f>((SUM(J19:N19)-SUM(J21:N21)*9)/(CEILING($J$5*3,3)))*3</f>
        <v>#DIV/0!</v>
      </c>
      <c r="R22" s="12"/>
      <c r="S22" s="12"/>
      <c r="U22" s="80"/>
    </row>
    <row r="23" spans="1:22" outlineLevel="2" x14ac:dyDescent="0.25">
      <c r="A23" s="18"/>
      <c r="B23" s="47"/>
      <c r="C23" s="47"/>
      <c r="D23" s="48"/>
      <c r="E23" s="48"/>
      <c r="F23" s="48"/>
      <c r="G23" s="49"/>
      <c r="H23" s="19"/>
      <c r="I23" s="89" t="s">
        <v>111</v>
      </c>
      <c r="J23" s="130">
        <f>SUM(B20:B22)*$V23</f>
        <v>0</v>
      </c>
      <c r="K23" s="130">
        <f t="shared" ref="K23:N23" si="14">SUM(C20:C22)*$V23</f>
        <v>0</v>
      </c>
      <c r="L23" s="130">
        <f t="shared" si="14"/>
        <v>0</v>
      </c>
      <c r="M23" s="130">
        <f t="shared" si="14"/>
        <v>0</v>
      </c>
      <c r="N23" s="130">
        <f t="shared" si="14"/>
        <v>0</v>
      </c>
      <c r="O23" s="129"/>
      <c r="P23" s="138"/>
      <c r="Q23" s="138"/>
      <c r="R23" s="12"/>
      <c r="S23" s="12"/>
      <c r="T23" s="311">
        <v>0</v>
      </c>
      <c r="U23" s="312"/>
      <c r="V23" s="131">
        <f>$J$79</f>
        <v>0</v>
      </c>
    </row>
    <row r="24" spans="1:22" outlineLevel="2" x14ac:dyDescent="0.25">
      <c r="A24" s="18"/>
      <c r="B24" s="47"/>
      <c r="C24" s="47"/>
      <c r="D24" s="48"/>
      <c r="E24" s="48"/>
      <c r="F24" s="48"/>
      <c r="G24" s="49"/>
      <c r="H24" s="19"/>
      <c r="I24" s="115"/>
      <c r="J24" s="79"/>
      <c r="K24" s="79"/>
      <c r="L24" s="79"/>
      <c r="M24" s="79"/>
      <c r="N24" s="79"/>
      <c r="O24" s="21"/>
      <c r="P24" s="138"/>
      <c r="Q24" s="138"/>
      <c r="R24" s="12"/>
      <c r="S24" s="12"/>
      <c r="T24" s="78"/>
      <c r="U24" s="80"/>
    </row>
    <row r="25" spans="1:22" outlineLevel="2" x14ac:dyDescent="0.25">
      <c r="A25" s="22" t="s">
        <v>84</v>
      </c>
      <c r="B25" s="47"/>
      <c r="C25" s="48"/>
      <c r="D25" s="48"/>
      <c r="E25" s="48"/>
      <c r="F25" s="48"/>
      <c r="G25" s="46"/>
      <c r="I25" s="89" t="s">
        <v>132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1" t="s">
        <v>51</v>
      </c>
      <c r="P25" s="134" t="s">
        <v>130</v>
      </c>
      <c r="Q25" s="134" t="s">
        <v>131</v>
      </c>
      <c r="R25" s="11"/>
      <c r="S25" s="12"/>
      <c r="T25" s="78"/>
      <c r="U25" s="80"/>
    </row>
    <row r="26" spans="1:22" outlineLevel="2" x14ac:dyDescent="0.25">
      <c r="A26" s="13" t="e">
        <f>ROUND(P26*100, 2)&amp;"% Avg. Fiscal Effort, "&amp;ROUND(Q26, 2)&amp;" Avg. Calendar Months"</f>
        <v>#DIV/0!</v>
      </c>
      <c r="B26" s="47">
        <f>O26*J26</f>
        <v>0</v>
      </c>
      <c r="C26" s="47">
        <f>IF($J$5&gt;1,IF($U$2&lt;&gt;0,IF(O26*(1+$O$5)&lt;=$U$2,O26*K26*(1+$O$5),$U$2*K26),O26*K26*(1+$O$5)),0)</f>
        <v>0</v>
      </c>
      <c r="D26" s="47">
        <f>IF($J$5&gt;2,IF($U$2&lt;&gt;0,IF(O26*(1+$O$5)^2&lt;=$U$2,O26*L26*(1+$O$5)^2,$U$2*L26),O26*L26*(1+$O$5)^2),0)</f>
        <v>0</v>
      </c>
      <c r="E26" s="47">
        <f>IF($J$5&gt;3,IF($U$2&lt;&gt;0,IF(O26*(1+$O$5)^3&lt;=$U$2,O26*M26*(1+$O$5)^3,$U$2*M26),O26*M26*(1+$O$5)^3),0)</f>
        <v>0</v>
      </c>
      <c r="F26" s="47">
        <f>IF($J$5&gt;4,IF($U$2&lt;&gt;0,IF(O26*(1+$O$5)^4&lt;=$U$2,O26*N26*(1+$O$5)^4,$U$2*N26),O26*N26*(1+$O$5)^4),0)</f>
        <v>0</v>
      </c>
      <c r="G26" s="46">
        <f>SUM(B26:F26)</f>
        <v>0</v>
      </c>
      <c r="H26" s="14"/>
      <c r="I26" s="89" t="s">
        <v>26</v>
      </c>
      <c r="J26" s="265">
        <v>0</v>
      </c>
      <c r="K26" s="265">
        <f>IF($J$5&gt;1,J26,0)</f>
        <v>0</v>
      </c>
      <c r="L26" s="265">
        <f>IF($J$5&gt;2,K26,0)</f>
        <v>0</v>
      </c>
      <c r="M26" s="265">
        <f>IF($J$5&gt;3,L26,0)</f>
        <v>0</v>
      </c>
      <c r="N26" s="265">
        <f>IF($J$5&gt;4,M26,0)</f>
        <v>0</v>
      </c>
      <c r="O26" s="128">
        <f>IF(U29="F",IF($U$2&lt;&gt;0,IF(T29&gt;$U$2,$U$2,T29),T29),0)</f>
        <v>0</v>
      </c>
      <c r="P26" s="135" t="e">
        <f>SUM(J25:N25)/(ROUNDUP($J$5,0)*12)</f>
        <v>#DIV/0!</v>
      </c>
      <c r="Q26" s="136" t="e">
        <f>(SUM(J25:N25)/(CEILING($J$5*12,12)))*12</f>
        <v>#DIV/0!</v>
      </c>
      <c r="T26" s="78"/>
      <c r="U26" s="80"/>
    </row>
    <row r="27" spans="1:22" outlineLevel="2" x14ac:dyDescent="0.25">
      <c r="A27" s="376" t="e">
        <f>ROUND(P26*100,2)&amp;"% Annualized Effort, "&amp;ROUND(Q27,2)&amp;" Avg. Academic Months
"&amp;IF(SUM(J28:N28)&gt;0," and "&amp;Q28 &amp;" Avg. Summer Months", "")</f>
        <v>#DIV/0!</v>
      </c>
      <c r="B27" s="47">
        <f>J27*O27</f>
        <v>0</v>
      </c>
      <c r="C27" s="47">
        <f>IF($J$5&gt;1,IF($U$2&lt;&gt;0,IF(O27*(1+$O$5)&lt;=$U$2*0.75,O27*K27*(1+$O$5),$U$2*0.75*K27),O27*K27*(1+$O$5)),0)</f>
        <v>0</v>
      </c>
      <c r="D27" s="47">
        <f>IF($J$5&gt;2,IF($U$2&lt;&gt;0,IF(O27*(1+$O$5)^2&lt;=$U$2*0.75,O27*L27*(1+$O$5)^2,$U$2*0.75*L27),O27*L27*(1+$O$5)^2),0)</f>
        <v>0</v>
      </c>
      <c r="E27" s="47">
        <f>IF($J$5&gt;3,IF($U$2&lt;&gt;0,IF(O27*(1+$O$5)^3&lt;=$U$2*0.75,O27*M27*(1+$O$5)^3,$U$2*0.75*M27),O27*M27*(1+$O$5)^3),0)</f>
        <v>0</v>
      </c>
      <c r="F27" s="47">
        <f>IF($J$5&gt;4,IF($U$2&lt;&gt;0,IF(O27*(1+$O$5)^4&lt;=$U$2*0.75,O27*N27*(1+$O$5)^4,$U$2*0.75*N27),O27*N27*(1+$O$5)^4),0)</f>
        <v>0</v>
      </c>
      <c r="G27" s="46">
        <f>SUM(B27:F27)</f>
        <v>0</v>
      </c>
      <c r="H27" s="14"/>
      <c r="I27" s="89" t="s">
        <v>15</v>
      </c>
      <c r="J27" s="265">
        <v>0</v>
      </c>
      <c r="K27" s="265">
        <f t="shared" ref="K27:K28" si="15">IF($J$5&gt;1,J27,0)</f>
        <v>0</v>
      </c>
      <c r="L27" s="265">
        <f t="shared" ref="L27:L28" si="16">IF($J$5&gt;2,K27,0)</f>
        <v>0</v>
      </c>
      <c r="M27" s="265">
        <f t="shared" ref="M27:M28" si="17">IF($J$5&gt;3,L27,0)</f>
        <v>0</v>
      </c>
      <c r="N27" s="265">
        <f t="shared" ref="N27:N28" si="18">IF($J$5&gt;4,M27,0)</f>
        <v>0</v>
      </c>
      <c r="O27" s="128">
        <f>IF(U29="A",IF($U$2&lt;&gt;0,IF(T29&gt;($U$2/12*9),($U$2/12*9),T29),T29),0)</f>
        <v>0</v>
      </c>
      <c r="P27" s="143"/>
      <c r="Q27" s="137" t="e">
        <f>((SUM(J25:N25)-SUM(J28:N28))/(CEILING($J$5*9,9)))*9</f>
        <v>#DIV/0!</v>
      </c>
      <c r="R27" s="12"/>
      <c r="S27" s="12"/>
      <c r="T27" s="78"/>
      <c r="U27" s="80"/>
    </row>
    <row r="28" spans="1:22" outlineLevel="2" x14ac:dyDescent="0.25">
      <c r="A28" s="376"/>
      <c r="B28" s="47">
        <f>J28/3*O28</f>
        <v>0</v>
      </c>
      <c r="C28" s="47">
        <f>IF($J$5&gt;1,IF($U$2&lt;&gt;0,IF(O28*(1+$O$5)&lt;=$U$2*0.25,O28*K28/3*(1+$O$5),$U$2*0.25*K28/3),O28*K28/3*(1+$O$5)),0)</f>
        <v>0</v>
      </c>
      <c r="D28" s="47">
        <f>IF($J$5&gt;2,IF($U$2&lt;&gt;0,IF(O28*(1+$O$5)^2&lt;=$U$2*0.25,O28*L28/3*(1+$O$5)^2,$U$2*0.25*L28/3),O28*L28/3*(1+$O$5)^2),0)</f>
        <v>0</v>
      </c>
      <c r="E28" s="47">
        <f>IF($J$5&gt;3,IF($U$2&lt;&gt;0,IF(O28*(1+$O$5)^3&lt;=$U$2*0.25,O28*M28/3*(1+$O$5)^3,$U$2*0.25*M28/3),O28*M28/3*(1+$O$5)^3),0)</f>
        <v>0</v>
      </c>
      <c r="F28" s="47">
        <f>IF($J$5&gt;4,IF($U$2&lt;&gt;0,IF(O28*(1+$O$5)^4&lt;=$U$2*0.25,O28*N28/3*(1+$O$5)^4,$U$2*0.25*N28/3),O28*N28/3*(1+$O$5)^4),0)</f>
        <v>0</v>
      </c>
      <c r="G28" s="46">
        <f>SUM(B28:F28)</f>
        <v>0</v>
      </c>
      <c r="H28" s="14"/>
      <c r="I28" s="89" t="s">
        <v>17</v>
      </c>
      <c r="J28" s="266">
        <v>0</v>
      </c>
      <c r="K28" s="266">
        <f t="shared" si="15"/>
        <v>0</v>
      </c>
      <c r="L28" s="266">
        <f t="shared" si="16"/>
        <v>0</v>
      </c>
      <c r="M28" s="266">
        <f t="shared" si="17"/>
        <v>0</v>
      </c>
      <c r="N28" s="266">
        <f t="shared" si="18"/>
        <v>0</v>
      </c>
      <c r="O28" s="128">
        <f>IF(U29="A",IF($U$2&lt;&gt;0,IF(T29/9*3&gt;($U$2/12*3),($U$2/12*3),T29/9*3),T29/9*3),0)</f>
        <v>0</v>
      </c>
      <c r="P28" s="138"/>
      <c r="Q28" s="138" t="e">
        <f>((SUM(J25:N25)-SUM(J27:N27)*9)/(CEILING($J$5*3,3)))*3</f>
        <v>#DIV/0!</v>
      </c>
      <c r="R28" s="12"/>
      <c r="S28" s="12"/>
      <c r="U28" s="80"/>
    </row>
    <row r="29" spans="1:22" outlineLevel="2" x14ac:dyDescent="0.25">
      <c r="A29" s="18"/>
      <c r="B29" s="47"/>
      <c r="C29" s="47"/>
      <c r="D29" s="48"/>
      <c r="E29" s="48"/>
      <c r="F29" s="48"/>
      <c r="G29" s="49"/>
      <c r="H29" s="19"/>
      <c r="I29" s="89" t="s">
        <v>111</v>
      </c>
      <c r="J29" s="130">
        <f>SUM(B26:B28)*$V29</f>
        <v>0</v>
      </c>
      <c r="K29" s="130">
        <f t="shared" ref="K29:N29" si="19">SUM(C26:C28)*$V29</f>
        <v>0</v>
      </c>
      <c r="L29" s="130">
        <f t="shared" si="19"/>
        <v>0</v>
      </c>
      <c r="M29" s="130">
        <f t="shared" si="19"/>
        <v>0</v>
      </c>
      <c r="N29" s="130">
        <f t="shared" si="19"/>
        <v>0</v>
      </c>
      <c r="O29" s="129"/>
      <c r="P29" s="138"/>
      <c r="Q29" s="138"/>
      <c r="R29" s="12"/>
      <c r="S29" s="12"/>
      <c r="T29" s="311">
        <v>0</v>
      </c>
      <c r="U29" s="312"/>
      <c r="V29" s="131">
        <f>$J$79</f>
        <v>0</v>
      </c>
    </row>
    <row r="30" spans="1:22" outlineLevel="2" x14ac:dyDescent="0.25">
      <c r="A30" s="18"/>
      <c r="B30" s="47"/>
      <c r="C30" s="47"/>
      <c r="D30" s="48"/>
      <c r="E30" s="48"/>
      <c r="F30" s="48"/>
      <c r="G30" s="49"/>
      <c r="H30" s="19"/>
      <c r="I30" s="115"/>
      <c r="J30" s="79"/>
      <c r="K30" s="79"/>
      <c r="L30" s="79"/>
      <c r="M30" s="79"/>
      <c r="N30" s="79"/>
      <c r="O30" s="21"/>
      <c r="P30" s="138"/>
      <c r="Q30" s="138"/>
      <c r="R30" s="12"/>
      <c r="S30" s="12"/>
      <c r="T30" s="78"/>
      <c r="U30" s="80"/>
    </row>
    <row r="31" spans="1:22" outlineLevel="2" x14ac:dyDescent="0.25">
      <c r="A31" s="22" t="s">
        <v>84</v>
      </c>
      <c r="B31" s="47"/>
      <c r="C31" s="48"/>
      <c r="D31" s="48"/>
      <c r="E31" s="48"/>
      <c r="F31" s="48"/>
      <c r="G31" s="46"/>
      <c r="I31" s="89" t="s">
        <v>132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1" t="s">
        <v>51</v>
      </c>
      <c r="P31" s="134" t="s">
        <v>130</v>
      </c>
      <c r="Q31" s="134" t="s">
        <v>131</v>
      </c>
      <c r="R31" s="11"/>
      <c r="S31" s="12"/>
      <c r="T31" s="78"/>
      <c r="U31" s="80"/>
    </row>
    <row r="32" spans="1:22" outlineLevel="2" x14ac:dyDescent="0.25">
      <c r="A32" s="13" t="e">
        <f>ROUND(P32*100, 2)&amp;"% Avg. Fiscal Effort, "&amp;ROUND(Q32, 2)&amp;" Avg. Calendar Months"</f>
        <v>#DIV/0!</v>
      </c>
      <c r="B32" s="47">
        <f>O32*J32</f>
        <v>0</v>
      </c>
      <c r="C32" s="47">
        <f>IF($J$5&gt;1,IF($U$2&lt;&gt;0,IF(O32*(1+$O$5)&lt;=$U$2,O32*K32*(1+$O$5),$U$2*K32),O32*K32*(1+$O$5)),0)</f>
        <v>0</v>
      </c>
      <c r="D32" s="47">
        <f>IF($J$5&gt;2,IF($U$2&lt;&gt;0,IF(O32*(1+$O$5)^2&lt;=$U$2,O32*L32*(1+$O$5)^2,$U$2*L32),O32*L32*(1+$O$5)^2),0)</f>
        <v>0</v>
      </c>
      <c r="E32" s="47">
        <f>IF($J$5&gt;3,IF($U$2&lt;&gt;0,IF(O32*(1+$O$5)^3&lt;=$U$2,O32*M32*(1+$O$5)^3,$U$2*M32),O32*M32*(1+$O$5)^3),0)</f>
        <v>0</v>
      </c>
      <c r="F32" s="47">
        <f>IF($J$5&gt;4,IF($U$2&lt;&gt;0,IF(O32*(1+$O$5)^4&lt;=$U$2,O32*N32*(1+$O$5)^4,$U$2*N32),O32*N32*(1+$O$5)^4),0)</f>
        <v>0</v>
      </c>
      <c r="G32" s="46">
        <f>SUM(B32:F32)</f>
        <v>0</v>
      </c>
      <c r="H32" s="14"/>
      <c r="I32" s="89" t="s">
        <v>26</v>
      </c>
      <c r="J32" s="265">
        <v>0</v>
      </c>
      <c r="K32" s="265">
        <f>IF($J$5&gt;1,J32,0)</f>
        <v>0</v>
      </c>
      <c r="L32" s="265">
        <f>IF($J$5&gt;2,K32,0)</f>
        <v>0</v>
      </c>
      <c r="M32" s="265">
        <f>IF($J$5&gt;3,L32,0)</f>
        <v>0</v>
      </c>
      <c r="N32" s="265">
        <f>IF($J$5&gt;4,M32,0)</f>
        <v>0</v>
      </c>
      <c r="O32" s="128">
        <f>IF(U35="F",IF($U$2&lt;&gt;0,IF(T35&gt;$U$2,$U$2,T35),T35),0)</f>
        <v>0</v>
      </c>
      <c r="P32" s="135" t="e">
        <f>SUM(J31:N31)/(ROUNDUP($J$5,0)*12)</f>
        <v>#DIV/0!</v>
      </c>
      <c r="Q32" s="136" t="e">
        <f>(SUM(J31:N31)/(CEILING($J$5*12,12)))*12</f>
        <v>#DIV/0!</v>
      </c>
      <c r="T32" s="78"/>
      <c r="U32" s="80"/>
    </row>
    <row r="33" spans="1:22" outlineLevel="2" x14ac:dyDescent="0.25">
      <c r="A33" s="376" t="e">
        <f>ROUND(P32*100,2)&amp;"% Annualized Effort, "&amp;ROUND(Q33,2)&amp;" Avg. Academic Months
"&amp;IF(SUM(J34:N34)&gt;0," and "&amp;Q34 &amp;" Avg. Summer Months", "")</f>
        <v>#DIV/0!</v>
      </c>
      <c r="B33" s="47">
        <f>J33*O33</f>
        <v>0</v>
      </c>
      <c r="C33" s="47">
        <f>IF($J$5&gt;1,IF($U$2&lt;&gt;0,IF(O33*(1+$O$5)&lt;=$U$2*0.75,O33*K33*(1+$O$5),$U$2*0.75*K33),O33*K33*(1+$O$5)),0)</f>
        <v>0</v>
      </c>
      <c r="D33" s="47">
        <f>IF($J$5&gt;2,IF($U$2&lt;&gt;0,IF(O33*(1+$O$5)^2&lt;=$U$2*0.75,O33*L33*(1+$O$5)^2,$U$2*0.75*L33),O33*L33*(1+$O$5)^2),0)</f>
        <v>0</v>
      </c>
      <c r="E33" s="47">
        <f>IF($J$5&gt;3,IF($U$2&lt;&gt;0,IF(O33*(1+$O$5)^3&lt;=$U$2*0.75,O33*M33*(1+$O$5)^3,$U$2*0.75*M33),O33*M33*(1+$O$5)^3),0)</f>
        <v>0</v>
      </c>
      <c r="F33" s="47">
        <f>IF($J$5&gt;4,IF($U$2&lt;&gt;0,IF(O33*(1+$O$5)^4&lt;=$U$2*0.75,O33*N33*(1+$O$5)^4,$U$2*0.75*N33),O33*N33*(1+$O$5)^4),0)</f>
        <v>0</v>
      </c>
      <c r="G33" s="46">
        <f>SUM(B33:F33)</f>
        <v>0</v>
      </c>
      <c r="H33" s="14"/>
      <c r="I33" s="89" t="s">
        <v>15</v>
      </c>
      <c r="J33" s="265">
        <v>0</v>
      </c>
      <c r="K33" s="265">
        <f t="shared" ref="K33:K34" si="20">IF($J$5&gt;1,J33,0)</f>
        <v>0</v>
      </c>
      <c r="L33" s="265">
        <f t="shared" ref="L33:L34" si="21">IF($J$5&gt;2,K33,0)</f>
        <v>0</v>
      </c>
      <c r="M33" s="265">
        <f t="shared" ref="M33:M34" si="22">IF($J$5&gt;3,L33,0)</f>
        <v>0</v>
      </c>
      <c r="N33" s="265">
        <f t="shared" ref="N33:N34" si="23">IF($J$5&gt;4,M33,0)</f>
        <v>0</v>
      </c>
      <c r="O33" s="128">
        <f>IF(U35="A",IF($U$2&lt;&gt;0,IF(T35&gt;($U$2/12*9),($U$2/12*9),T35),T35),0)</f>
        <v>0</v>
      </c>
      <c r="P33" s="143"/>
      <c r="Q33" s="137" t="e">
        <f>((SUM(J31:N31)-SUM(J34:N34))/(CEILING($J$5*9,9)))*9</f>
        <v>#DIV/0!</v>
      </c>
      <c r="R33" s="12"/>
      <c r="S33" s="12"/>
      <c r="T33" s="78"/>
      <c r="U33" s="80"/>
    </row>
    <row r="34" spans="1:22" outlineLevel="2" x14ac:dyDescent="0.25">
      <c r="A34" s="376"/>
      <c r="B34" s="47">
        <f>J34/3*O34</f>
        <v>0</v>
      </c>
      <c r="C34" s="47">
        <f>IF($J$5&gt;1,IF($U$2&lt;&gt;0,IF(O34*(1+$O$5)&lt;=$U$2*0.25,O34*K34/3*(1+$O$5),$U$2*0.25*K34/3),O34*K34/3*(1+$O$5)),0)</f>
        <v>0</v>
      </c>
      <c r="D34" s="47">
        <f>IF($J$5&gt;2,IF($U$2&lt;&gt;0,IF(O34*(1+$O$5)^2&lt;=$U$2*0.25,O34*L34/3*(1+$O$5)^2,$U$2*0.25*L34/3),O34*L34/3*(1+$O$5)^2),0)</f>
        <v>0</v>
      </c>
      <c r="E34" s="47">
        <f>IF($J$5&gt;3,IF($U$2&lt;&gt;0,IF(O34*(1+$O$5)^3&lt;=$U$2*0.25,O34*M34/3*(1+$O$5)^3,$U$2*0.25*M34/3),O34*M34/3*(1+$O$5)^3),0)</f>
        <v>0</v>
      </c>
      <c r="F34" s="47">
        <f>IF($J$5&gt;4,IF($U$2&lt;&gt;0,IF(O34*(1+$O$5)^4&lt;=$U$2*0.25,O34*N34/3*(1+$O$5)^4,$U$2*0.25*N34/3),O34*N34/3*(1+$O$5)^4),0)</f>
        <v>0</v>
      </c>
      <c r="G34" s="46">
        <f>SUM(B34:F34)</f>
        <v>0</v>
      </c>
      <c r="H34" s="14"/>
      <c r="I34" s="89" t="s">
        <v>17</v>
      </c>
      <c r="J34" s="266">
        <v>0</v>
      </c>
      <c r="K34" s="266">
        <f t="shared" si="20"/>
        <v>0</v>
      </c>
      <c r="L34" s="266">
        <f t="shared" si="21"/>
        <v>0</v>
      </c>
      <c r="M34" s="266">
        <f t="shared" si="22"/>
        <v>0</v>
      </c>
      <c r="N34" s="266">
        <f t="shared" si="23"/>
        <v>0</v>
      </c>
      <c r="O34" s="128">
        <f>IF(U35="A",IF($U$2&lt;&gt;0,IF(T35/9*3&gt;($U$2/12*3),($U$2/12*3),T35/9*3),T35/9*3),0)</f>
        <v>0</v>
      </c>
      <c r="P34" s="138"/>
      <c r="Q34" s="138" t="e">
        <f>((SUM(J31:N31)-SUM(J33:N33)*9)/(CEILING($J$5*3,3)))*3</f>
        <v>#DIV/0!</v>
      </c>
      <c r="R34" s="12"/>
      <c r="S34" s="12"/>
      <c r="U34" s="80"/>
    </row>
    <row r="35" spans="1:22" outlineLevel="2" x14ac:dyDescent="0.25">
      <c r="A35" s="18"/>
      <c r="B35" s="47"/>
      <c r="C35" s="47"/>
      <c r="D35" s="48"/>
      <c r="E35" s="48"/>
      <c r="F35" s="48"/>
      <c r="G35" s="49"/>
      <c r="H35" s="19"/>
      <c r="I35" s="89" t="s">
        <v>111</v>
      </c>
      <c r="J35" s="130">
        <f>SUM(B32:B34)*$V35</f>
        <v>0</v>
      </c>
      <c r="K35" s="130">
        <f t="shared" ref="K35:N35" si="24">SUM(C32:C34)*$V35</f>
        <v>0</v>
      </c>
      <c r="L35" s="130">
        <f t="shared" si="24"/>
        <v>0</v>
      </c>
      <c r="M35" s="130">
        <f t="shared" si="24"/>
        <v>0</v>
      </c>
      <c r="N35" s="130">
        <f t="shared" si="24"/>
        <v>0</v>
      </c>
      <c r="O35" s="129"/>
      <c r="P35" s="138"/>
      <c r="Q35" s="138"/>
      <c r="R35" s="12"/>
      <c r="S35" s="12"/>
      <c r="T35" s="311">
        <v>0</v>
      </c>
      <c r="U35" s="312"/>
      <c r="V35" s="131">
        <f>$J$79</f>
        <v>0</v>
      </c>
    </row>
    <row r="36" spans="1:22" outlineLevel="2" x14ac:dyDescent="0.25">
      <c r="A36" s="18"/>
      <c r="B36" s="47"/>
      <c r="C36" s="47"/>
      <c r="D36" s="48"/>
      <c r="E36" s="48"/>
      <c r="F36" s="48"/>
      <c r="G36" s="49"/>
      <c r="H36" s="19"/>
      <c r="I36" s="115"/>
      <c r="J36" s="79"/>
      <c r="K36" s="79"/>
      <c r="L36" s="79"/>
      <c r="M36" s="79"/>
      <c r="N36" s="79"/>
      <c r="O36" s="21"/>
      <c r="P36" s="138"/>
      <c r="Q36" s="138"/>
      <c r="R36" s="12"/>
      <c r="S36" s="12"/>
      <c r="T36" s="78"/>
      <c r="U36" s="80"/>
    </row>
    <row r="37" spans="1:22" outlineLevel="2" x14ac:dyDescent="0.25">
      <c r="A37" s="22" t="s">
        <v>84</v>
      </c>
      <c r="B37" s="47"/>
      <c r="C37" s="48"/>
      <c r="D37" s="48"/>
      <c r="E37" s="48"/>
      <c r="F37" s="48"/>
      <c r="G37" s="46"/>
      <c r="I37" s="89" t="s">
        <v>132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1" t="s">
        <v>51</v>
      </c>
      <c r="P37" s="134" t="s">
        <v>130</v>
      </c>
      <c r="Q37" s="134" t="s">
        <v>131</v>
      </c>
      <c r="R37" s="11"/>
      <c r="S37" s="12"/>
      <c r="T37" s="78"/>
      <c r="U37" s="80"/>
    </row>
    <row r="38" spans="1:22" outlineLevel="2" x14ac:dyDescent="0.25">
      <c r="A38" s="13" t="e">
        <f>ROUND(P38*100, 2)&amp;"% Avg. Fiscal Effort, "&amp;ROUND(Q38, 2)&amp;" Avg. Calendar Months"</f>
        <v>#DIV/0!</v>
      </c>
      <c r="B38" s="47">
        <f>O38*J38</f>
        <v>0</v>
      </c>
      <c r="C38" s="47">
        <f>IF($J$5&gt;1,IF($U$2&lt;&gt;0,IF(O38*(1+$O$5)&lt;=$U$2,O38*K38*(1+$O$5),$U$2*K38),O38*K38*(1+$O$5)),0)</f>
        <v>0</v>
      </c>
      <c r="D38" s="47">
        <f>IF($J$5&gt;2,IF($U$2&lt;&gt;0,IF(O38*(1+$O$5)^2&lt;=$U$2,O38*L38*(1+$O$5)^2,$U$2*L38),O38*L38*(1+$O$5)^2),0)</f>
        <v>0</v>
      </c>
      <c r="E38" s="47">
        <f>IF($J$5&gt;3,IF($U$2&lt;&gt;0,IF(O38*(1+$O$5)^3&lt;=$U$2,O38*M38*(1+$O$5)^3,$U$2*M38),O38*M38*(1+$O$5)^3),0)</f>
        <v>0</v>
      </c>
      <c r="F38" s="47">
        <f>IF($J$5&gt;4,IF($U$2&lt;&gt;0,IF(O38*(1+$O$5)^4&lt;=$U$2,O38*N38*(1+$O$5)^4,$U$2*N38),O38*N38*(1+$O$5)^4),0)</f>
        <v>0</v>
      </c>
      <c r="G38" s="46">
        <f>SUM(B38:F38)</f>
        <v>0</v>
      </c>
      <c r="H38" s="14"/>
      <c r="I38" s="89" t="s">
        <v>26</v>
      </c>
      <c r="J38" s="265">
        <v>0</v>
      </c>
      <c r="K38" s="265">
        <f>IF($J$5&gt;1,J38,0)</f>
        <v>0</v>
      </c>
      <c r="L38" s="265">
        <f>IF($J$5&gt;2,K38,0)</f>
        <v>0</v>
      </c>
      <c r="M38" s="265">
        <f>IF($J$5&gt;3,L38,0)</f>
        <v>0</v>
      </c>
      <c r="N38" s="265">
        <f>IF($J$5&gt;4,M38,0)</f>
        <v>0</v>
      </c>
      <c r="O38" s="128">
        <f>IF(U41="F",IF($U$2&lt;&gt;0,IF(T41&gt;$U$2,$U$2,T41),T41),0)</f>
        <v>0</v>
      </c>
      <c r="P38" s="135" t="e">
        <f>SUM(J37:N37)/(ROUNDUP($J$5,0)*12)</f>
        <v>#DIV/0!</v>
      </c>
      <c r="Q38" s="136" t="e">
        <f>(SUM(J37:N37)/(CEILING($J$5*12,12)))*12</f>
        <v>#DIV/0!</v>
      </c>
      <c r="T38" s="78"/>
      <c r="U38" s="80"/>
    </row>
    <row r="39" spans="1:22" outlineLevel="2" x14ac:dyDescent="0.25">
      <c r="A39" s="376" t="e">
        <f>ROUND(P38*100,2)&amp;"% Annualized Effort, "&amp;ROUND(Q39,2)&amp;" Avg. Academic Months
"&amp;IF(SUM(J40:N40)&gt;0," and "&amp;Q40 &amp;" Avg. Summer Months", "")</f>
        <v>#DIV/0!</v>
      </c>
      <c r="B39" s="47">
        <f>J39*O39</f>
        <v>0</v>
      </c>
      <c r="C39" s="47">
        <f>IF($J$5&gt;1,IF($U$2&lt;&gt;0,IF(O39*(1+$O$5)&lt;=$U$2*0.75,O39*K39*(1+$O$5),$U$2*0.75*K39),O39*K39*(1+$O$5)),0)</f>
        <v>0</v>
      </c>
      <c r="D39" s="47">
        <f>IF($J$5&gt;2,IF($U$2&lt;&gt;0,IF(O39*(1+$O$5)^2&lt;=$U$2*0.75,O39*L39*(1+$O$5)^2,$U$2*0.75*L39),O39*L39*(1+$O$5)^2),0)</f>
        <v>0</v>
      </c>
      <c r="E39" s="47">
        <f>IF($J$5&gt;3,IF($U$2&lt;&gt;0,IF(O39*(1+$O$5)^3&lt;=$U$2*0.75,O39*M39*(1+$O$5)^3,$U$2*0.75*M39),O39*M39*(1+$O$5)^3),0)</f>
        <v>0</v>
      </c>
      <c r="F39" s="47">
        <f>IF($J$5&gt;4,IF($U$2&lt;&gt;0,IF(O39*(1+$O$5)^4&lt;=$U$2*0.75,O39*N39*(1+$O$5)^4,$U$2*0.75*N39),O39*N39*(1+$O$5)^4),0)</f>
        <v>0</v>
      </c>
      <c r="G39" s="46">
        <f>SUM(B39:F39)</f>
        <v>0</v>
      </c>
      <c r="H39" s="14"/>
      <c r="I39" s="89" t="s">
        <v>15</v>
      </c>
      <c r="J39" s="265">
        <v>0</v>
      </c>
      <c r="K39" s="265">
        <f t="shared" ref="K39:K40" si="25">IF($J$5&gt;1,J39,0)</f>
        <v>0</v>
      </c>
      <c r="L39" s="265">
        <f t="shared" ref="L39:L40" si="26">IF($J$5&gt;2,K39,0)</f>
        <v>0</v>
      </c>
      <c r="M39" s="265">
        <f t="shared" ref="M39:M40" si="27">IF($J$5&gt;3,L39,0)</f>
        <v>0</v>
      </c>
      <c r="N39" s="265">
        <f t="shared" ref="N39:N40" si="28">IF($J$5&gt;4,M39,0)</f>
        <v>0</v>
      </c>
      <c r="O39" s="128">
        <f>IF(U41="A",IF($U$2&lt;&gt;0,IF(T41&gt;($U$2/12*9),($U$2/12*9),T41),T41),0)</f>
        <v>0</v>
      </c>
      <c r="P39" s="143"/>
      <c r="Q39" s="137" t="e">
        <f>((SUM(J37:N37)-SUM(J40:N40))/(CEILING($J$5*9,9)))*9</f>
        <v>#DIV/0!</v>
      </c>
      <c r="R39" s="12"/>
      <c r="S39" s="12"/>
      <c r="T39" s="78"/>
      <c r="U39" s="80"/>
    </row>
    <row r="40" spans="1:22" outlineLevel="2" x14ac:dyDescent="0.25">
      <c r="A40" s="376"/>
      <c r="B40" s="47">
        <f>J40/3*O40</f>
        <v>0</v>
      </c>
      <c r="C40" s="47">
        <f>IF($J$5&gt;1,IF($U$2&lt;&gt;0,IF(O40*(1+$O$5)&lt;=$U$2*0.25,O40*K40/3*(1+$O$5),$U$2*0.25*K40/3),O40*K40/3*(1+$O$5)),0)</f>
        <v>0</v>
      </c>
      <c r="D40" s="47">
        <f>IF($J$5&gt;2,IF($U$2&lt;&gt;0,IF(O40*(1+$O$5)^2&lt;=$U$2*0.25,O40*L40/3*(1+$O$5)^2,$U$2*0.25*L40/3),O40*L40/3*(1+$O$5)^2),0)</f>
        <v>0</v>
      </c>
      <c r="E40" s="47">
        <f>IF($J$5&gt;3,IF($U$2&lt;&gt;0,IF(O40*(1+$O$5)^3&lt;=$U$2*0.25,O40*M40/3*(1+$O$5)^3,$U$2*0.25*M40/3),O40*M40/3*(1+$O$5)^3),0)</f>
        <v>0</v>
      </c>
      <c r="F40" s="47">
        <f>IF($J$5&gt;4,IF($U$2&lt;&gt;0,IF(O40*(1+$O$5)^4&lt;=$U$2*0.25,O40*N40/3*(1+$O$5)^4,$U$2*0.25*N40/3),O40*N40/3*(1+$O$5)^4),0)</f>
        <v>0</v>
      </c>
      <c r="G40" s="46">
        <f>SUM(B40:F40)</f>
        <v>0</v>
      </c>
      <c r="H40" s="14"/>
      <c r="I40" s="89" t="s">
        <v>17</v>
      </c>
      <c r="J40" s="266">
        <v>0</v>
      </c>
      <c r="K40" s="266">
        <f t="shared" si="25"/>
        <v>0</v>
      </c>
      <c r="L40" s="266">
        <f t="shared" si="26"/>
        <v>0</v>
      </c>
      <c r="M40" s="266">
        <f t="shared" si="27"/>
        <v>0</v>
      </c>
      <c r="N40" s="266">
        <f t="shared" si="28"/>
        <v>0</v>
      </c>
      <c r="O40" s="128">
        <f>IF(U41="A",IF($U$2&lt;&gt;0,IF(T41/9*3&gt;($U$2/12*3),($U$2/12*3),T41/9*3),T41/9*3),0)</f>
        <v>0</v>
      </c>
      <c r="P40" s="138"/>
      <c r="Q40" s="138" t="e">
        <f>((SUM(J37:N37)-SUM(J39:N39)*9)/(CEILING($J$5*3,3)))*3</f>
        <v>#DIV/0!</v>
      </c>
      <c r="R40" s="12"/>
      <c r="S40" s="12"/>
      <c r="U40" s="80"/>
    </row>
    <row r="41" spans="1:22" outlineLevel="2" x14ac:dyDescent="0.25">
      <c r="A41" s="18"/>
      <c r="B41" s="47"/>
      <c r="C41" s="47"/>
      <c r="D41" s="48"/>
      <c r="E41" s="48"/>
      <c r="F41" s="48"/>
      <c r="G41" s="49"/>
      <c r="H41" s="19"/>
      <c r="I41" s="89" t="s">
        <v>111</v>
      </c>
      <c r="J41" s="130">
        <f>SUM(B38:B40)*$V41</f>
        <v>0</v>
      </c>
      <c r="K41" s="130">
        <f t="shared" ref="K41:N41" si="29">SUM(C38:C40)*$V41</f>
        <v>0</v>
      </c>
      <c r="L41" s="130">
        <f t="shared" si="29"/>
        <v>0</v>
      </c>
      <c r="M41" s="130">
        <f t="shared" si="29"/>
        <v>0</v>
      </c>
      <c r="N41" s="130">
        <f t="shared" si="29"/>
        <v>0</v>
      </c>
      <c r="O41" s="129"/>
      <c r="P41" s="138"/>
      <c r="Q41" s="138"/>
      <c r="R41" s="12"/>
      <c r="S41" s="12"/>
      <c r="T41" s="311">
        <v>0</v>
      </c>
      <c r="U41" s="312"/>
      <c r="V41" s="131">
        <f>$J$79</f>
        <v>0</v>
      </c>
    </row>
    <row r="42" spans="1:22" outlineLevel="2" x14ac:dyDescent="0.25">
      <c r="A42" s="18"/>
      <c r="B42" s="47"/>
      <c r="C42" s="47"/>
      <c r="D42" s="48"/>
      <c r="E42" s="48"/>
      <c r="F42" s="48"/>
      <c r="G42" s="49"/>
      <c r="H42" s="19"/>
      <c r="I42" s="115"/>
      <c r="J42" s="79"/>
      <c r="K42" s="79"/>
      <c r="L42" s="79"/>
      <c r="M42" s="79"/>
      <c r="N42" s="79"/>
      <c r="O42" s="21"/>
      <c r="P42" s="138"/>
      <c r="Q42" s="138"/>
      <c r="R42" s="12"/>
      <c r="S42" s="12"/>
      <c r="T42" s="78"/>
      <c r="U42" s="80"/>
    </row>
    <row r="43" spans="1:22" outlineLevel="1" x14ac:dyDescent="0.25">
      <c r="A43" s="13"/>
      <c r="B43" s="47"/>
      <c r="C43" s="47"/>
      <c r="D43" s="47"/>
      <c r="E43" s="47"/>
      <c r="F43" s="47"/>
      <c r="G43" s="46"/>
      <c r="H43" s="14"/>
      <c r="I43" s="34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85" t="s">
        <v>51</v>
      </c>
      <c r="P43" s="135"/>
      <c r="Q43" s="135"/>
      <c r="U43" s="78"/>
    </row>
    <row r="44" spans="1:22" outlineLevel="2" x14ac:dyDescent="0.25">
      <c r="A44" s="22" t="str">
        <f>"TBN, Post-doc ("&amp;J44&amp;")"</f>
        <v>TBN, Post-doc ()</v>
      </c>
      <c r="B44" s="47"/>
      <c r="C44" s="47"/>
      <c r="D44" s="48"/>
      <c r="E44" s="48"/>
      <c r="F44" s="48"/>
      <c r="G44" s="46"/>
      <c r="H44" s="14"/>
      <c r="I44" s="89" t="s">
        <v>16</v>
      </c>
      <c r="J44" s="314"/>
      <c r="K44" s="116"/>
      <c r="L44" s="116"/>
      <c r="M44" s="116"/>
      <c r="N44" s="116"/>
      <c r="O44" s="313"/>
      <c r="P44" s="135"/>
      <c r="Q44" s="135"/>
      <c r="U44" s="80"/>
    </row>
    <row r="45" spans="1:22" outlineLevel="2" x14ac:dyDescent="0.25">
      <c r="A45" s="13" t="str">
        <f>ROUND(J45*100,2)&amp;"% FY Effort, "&amp;ROUND(J45*12,2)&amp;" Calendar Months"</f>
        <v>0% FY Effort, 0 Calendar Months</v>
      </c>
      <c r="B45" s="47">
        <f>J44*O44*J45</f>
        <v>0</v>
      </c>
      <c r="C45" s="47">
        <f>IF($J$5&gt;1, O44*K45*(1+$O$5), 0)</f>
        <v>0</v>
      </c>
      <c r="D45" s="47">
        <f>IF($J$5&gt;2, O44*L45*(1+$O$5)^2, 0)</f>
        <v>0</v>
      </c>
      <c r="E45" s="47">
        <f>IF($J$5&gt;3, O44*M45*(1+$O$5)^3, 0)</f>
        <v>0</v>
      </c>
      <c r="F45" s="47">
        <f>IF($J$5&gt;4, O44*N45*(1+$O$5)^4, 0)</f>
        <v>0</v>
      </c>
      <c r="G45" s="46">
        <f>SUM(B45:F45)</f>
        <v>0</v>
      </c>
      <c r="H45" s="14"/>
      <c r="I45" s="90" t="s">
        <v>26</v>
      </c>
      <c r="J45" s="315">
        <v>0</v>
      </c>
      <c r="K45" s="315">
        <f>IF($J$5&gt;1,J45,0)</f>
        <v>0</v>
      </c>
      <c r="L45" s="315">
        <f>IF($J$5&gt;2,K45,0)</f>
        <v>0</v>
      </c>
      <c r="M45" s="315">
        <f>IF($J$5&gt;3,L45,0)</f>
        <v>0</v>
      </c>
      <c r="N45" s="315">
        <f>IF($J$5&gt;4,M45,0)</f>
        <v>0</v>
      </c>
      <c r="O45" s="21"/>
      <c r="P45" s="135"/>
      <c r="Q45" s="135"/>
      <c r="U45" s="80"/>
    </row>
    <row r="46" spans="1:22" outlineLevel="2" x14ac:dyDescent="0.25">
      <c r="A46" s="13"/>
      <c r="B46" s="47"/>
      <c r="C46" s="47"/>
      <c r="D46" s="48"/>
      <c r="E46" s="48"/>
      <c r="F46" s="48"/>
      <c r="G46" s="46"/>
      <c r="H46" s="14"/>
      <c r="I46" s="4"/>
      <c r="O46" s="41" t="s">
        <v>51</v>
      </c>
      <c r="P46" s="135"/>
      <c r="Q46" s="135"/>
      <c r="U46" s="80"/>
    </row>
    <row r="47" spans="1:22" outlineLevel="2" x14ac:dyDescent="0.25">
      <c r="A47" s="22" t="str">
        <f>"TBN, Post-doc ("&amp;J47&amp;")"</f>
        <v>TBN, Post-doc ()</v>
      </c>
      <c r="B47" s="47"/>
      <c r="C47" s="47"/>
      <c r="D47" s="48"/>
      <c r="E47" s="48"/>
      <c r="F47" s="48"/>
      <c r="G47" s="46"/>
      <c r="H47" s="14"/>
      <c r="I47" s="89" t="s">
        <v>16</v>
      </c>
      <c r="J47" s="314"/>
      <c r="K47" s="116"/>
      <c r="L47" s="116"/>
      <c r="M47" s="116"/>
      <c r="N47" s="116"/>
      <c r="O47" s="313"/>
      <c r="P47" s="135"/>
      <c r="Q47" s="135"/>
      <c r="U47" s="80"/>
    </row>
    <row r="48" spans="1:22" outlineLevel="2" x14ac:dyDescent="0.25">
      <c r="A48" s="13" t="str">
        <f>ROUND(J48*100,2)&amp;"% FY Effort, "&amp;ROUND(J48*12,2)&amp;" Calendar Months"</f>
        <v>0% FY Effort, 0 Calendar Months</v>
      </c>
      <c r="B48" s="47">
        <f>J47*O47*J48</f>
        <v>0</v>
      </c>
      <c r="C48" s="47">
        <f>IF($J$5&gt;1, O47*K48*(1+$O$5), 0)</f>
        <v>0</v>
      </c>
      <c r="D48" s="47">
        <f>IF($J$5&gt;2, O47*L48*(1+$O$5)^2, 0)</f>
        <v>0</v>
      </c>
      <c r="E48" s="47">
        <f>IF($J$5&gt;3, O47*M48*(1+$O$5)^3, 0)</f>
        <v>0</v>
      </c>
      <c r="F48" s="47">
        <f>IF($J$5&gt;4, O47*N48*(1+$O$5)^4, 0)</f>
        <v>0</v>
      </c>
      <c r="G48" s="46">
        <f>SUM(B48:F48)</f>
        <v>0</v>
      </c>
      <c r="H48" s="14"/>
      <c r="I48" s="90" t="s">
        <v>26</v>
      </c>
      <c r="J48" s="315">
        <v>0</v>
      </c>
      <c r="K48" s="315">
        <f>IF($J$5&gt;1,J48,0)</f>
        <v>0</v>
      </c>
      <c r="L48" s="315">
        <f>IF($J$5&gt;2,K48,0)</f>
        <v>0</v>
      </c>
      <c r="M48" s="315">
        <f>IF($J$5&gt;3,L48,0)</f>
        <v>0</v>
      </c>
      <c r="N48" s="315">
        <f>IF($J$5&gt;4,M48,0)</f>
        <v>0</v>
      </c>
      <c r="O48" s="21"/>
      <c r="P48" s="135"/>
      <c r="Q48" s="135"/>
      <c r="U48" s="80"/>
    </row>
    <row r="49" spans="1:22" outlineLevel="2" x14ac:dyDescent="0.25">
      <c r="A49" s="13"/>
      <c r="B49" s="47"/>
      <c r="C49" s="47"/>
      <c r="D49" s="47"/>
      <c r="E49" s="47"/>
      <c r="F49" s="47"/>
      <c r="G49" s="46"/>
      <c r="H49" s="14"/>
      <c r="I49" s="4"/>
      <c r="O49" s="41" t="s">
        <v>51</v>
      </c>
      <c r="P49" s="135"/>
      <c r="Q49" s="135"/>
      <c r="U49" s="80"/>
    </row>
    <row r="50" spans="1:22" outlineLevel="2" x14ac:dyDescent="0.25">
      <c r="A50" s="22" t="str">
        <f>"TBN, Post-doc ("&amp;J50&amp;")"</f>
        <v>TBN, Post-doc ()</v>
      </c>
      <c r="B50" s="47"/>
      <c r="C50" s="47"/>
      <c r="D50" s="47"/>
      <c r="E50" s="47"/>
      <c r="F50" s="47"/>
      <c r="G50" s="46"/>
      <c r="H50" s="14"/>
      <c r="I50" s="89" t="s">
        <v>16</v>
      </c>
      <c r="J50" s="314"/>
      <c r="K50" s="116"/>
      <c r="L50" s="116"/>
      <c r="M50" s="116"/>
      <c r="N50" s="116"/>
      <c r="O50" s="313"/>
      <c r="P50" s="135"/>
      <c r="Q50" s="135"/>
      <c r="U50" s="80"/>
    </row>
    <row r="51" spans="1:22" outlineLevel="2" x14ac:dyDescent="0.25">
      <c r="A51" s="13" t="str">
        <f>ROUND(J51*100,2)&amp;"% FY Effort, "&amp;ROUND(J51*12,2)&amp;" Calendar Months"</f>
        <v>0% FY Effort, 0 Calendar Months</v>
      </c>
      <c r="B51" s="47">
        <f>J50*O50*J51</f>
        <v>0</v>
      </c>
      <c r="C51" s="47">
        <f>IF($J$5&gt;1, O50*K51*(1+$O$5), 0)</f>
        <v>0</v>
      </c>
      <c r="D51" s="47">
        <f>IF($J$5&gt;2, O50*L51*(1+$O$5)^2, 0)</f>
        <v>0</v>
      </c>
      <c r="E51" s="47">
        <f>IF($J$5&gt;3, O50*M51*(1+$O$5)^3, 0)</f>
        <v>0</v>
      </c>
      <c r="F51" s="47">
        <f>IF($J$5&gt;4, O50*N51*(1+$O$5)^4, 0)</f>
        <v>0</v>
      </c>
      <c r="G51" s="46">
        <f>SUM(B51:F51)</f>
        <v>0</v>
      </c>
      <c r="H51" s="14"/>
      <c r="I51" s="90" t="s">
        <v>26</v>
      </c>
      <c r="J51" s="315">
        <v>0</v>
      </c>
      <c r="K51" s="315">
        <f>IF($J$5&gt;1,J51,0)</f>
        <v>0</v>
      </c>
      <c r="L51" s="315">
        <f>IF($J$5&gt;2,K51,0)</f>
        <v>0</v>
      </c>
      <c r="M51" s="315">
        <f>IF($J$5&gt;3,L51,0)</f>
        <v>0</v>
      </c>
      <c r="N51" s="315">
        <f>IF($J$5&gt;4,M51,0)</f>
        <v>0</v>
      </c>
      <c r="O51" s="21"/>
      <c r="P51" s="135"/>
      <c r="Q51" s="135"/>
      <c r="U51" s="80"/>
    </row>
    <row r="52" spans="1:22" outlineLevel="2" x14ac:dyDescent="0.25">
      <c r="B52" s="47"/>
      <c r="C52" s="47"/>
      <c r="D52" s="48"/>
      <c r="E52" s="48"/>
      <c r="F52" s="48"/>
      <c r="G52" s="46"/>
      <c r="H52" s="14"/>
      <c r="I52" s="45" t="s">
        <v>48</v>
      </c>
      <c r="J52" s="88" t="b">
        <f>IF(J54&gt;0%,IF(J54&lt;50%,IF(J54&gt;0,($U$3/2),0),$U$3),IF(J55&gt;0%,IF(J55&lt;50%,IF(J55&gt;0,($U$3/2),0),$U$3)))</f>
        <v>0</v>
      </c>
      <c r="K52" s="88" t="b">
        <f>IF(K54&gt;0%,IF(K54&lt;50%,IF(K54&gt;0,(($U$3*(1+$V$3))/2),0),($U$3*(1+$V$3))),IF(K55&gt;0%,IF(K55&lt;50%,IF(K55&gt;0,(($U$3*(1+$V$3))/2),0),($U$3*(1+$V$3)))))</f>
        <v>0</v>
      </c>
      <c r="L52" s="88" t="b">
        <f>IF(L54&gt;0%,IF(L54&lt;50%,IF(L54&gt;0,(($U$3*(1+$V$3)^2)/2),0),($U$3*(1+$V$3)^2)),IF(L55&gt;0%,IF(L55&lt;50%,IF(L55&gt;0,(($U$3*(1+$V$3)^2)/2),0),($U$3*(1+$V$3)^2))))</f>
        <v>0</v>
      </c>
      <c r="M52" s="88" t="b">
        <f>IF(M54&gt;0%,IF(M54&lt;50%,IF(M54&gt;0,(($U$3*(1+$V$3)^3)/2),0),($U$3*(1+$V$3)^3)),IF(M55&gt;0%,IF(M55&lt;50%,IF(M55&gt;0,(($U$3*(1+$V$3)^3)/2),0),($U$3*(1+$V$3)^3))))</f>
        <v>0</v>
      </c>
      <c r="N52" s="88" t="b">
        <f>IF(N54&gt;0%,IF(N54&lt;50%,IF(N54&gt;0,(($U$3*(1+$V$3)^4)/2),0),($U$3*(1+$V$3)^4)),IF(N55&gt;0%,IF(N55&lt;50%,IF(N55&gt;0,(($U$3*(1+$V$3)^4)/2),0),($U$3*(1+$V$3)^4))))</f>
        <v>0</v>
      </c>
      <c r="O52" s="41" t="s">
        <v>51</v>
      </c>
      <c r="P52" s="134"/>
      <c r="Q52" s="134"/>
      <c r="T52" s="2"/>
      <c r="U52" s="226"/>
      <c r="V52" s="1"/>
    </row>
    <row r="53" spans="1:22" outlineLevel="2" x14ac:dyDescent="0.25">
      <c r="A53" s="22" t="s">
        <v>85</v>
      </c>
      <c r="B53" s="47"/>
      <c r="C53" s="47"/>
      <c r="D53" s="48"/>
      <c r="E53" s="48"/>
      <c r="F53" s="48"/>
      <c r="G53" s="46"/>
      <c r="H53" s="14"/>
      <c r="I53" s="89" t="s">
        <v>132</v>
      </c>
      <c r="J53" s="5">
        <f>IF($U53="F",J54*12,SUM(J55*9,J56))</f>
        <v>0</v>
      </c>
      <c r="K53" s="5">
        <f t="shared" ref="K53:N53" si="30">IF($U53="F",K54*12,SUM(K55*9,K56))</f>
        <v>0</v>
      </c>
      <c r="L53" s="5">
        <f t="shared" si="30"/>
        <v>0</v>
      </c>
      <c r="M53" s="5">
        <f t="shared" si="30"/>
        <v>0</v>
      </c>
      <c r="N53" s="5">
        <f t="shared" si="30"/>
        <v>0</v>
      </c>
      <c r="O53" s="41"/>
      <c r="P53" s="134" t="s">
        <v>130</v>
      </c>
      <c r="Q53" s="134" t="s">
        <v>131</v>
      </c>
      <c r="T53" s="311">
        <v>0</v>
      </c>
      <c r="U53" s="312"/>
      <c r="V53"/>
    </row>
    <row r="54" spans="1:22" outlineLevel="2" x14ac:dyDescent="0.25">
      <c r="A54" s="13" t="e">
        <f>ROUND(P54*100, 2)&amp;"% Avg. Fiscal Effort, "&amp;ROUND(Q54, 2)&amp;" Avg. Calendar Months"</f>
        <v>#DIV/0!</v>
      </c>
      <c r="B54" s="47">
        <f>O54*J54</f>
        <v>0</v>
      </c>
      <c r="C54" s="47">
        <f>IF($J$5&gt;1,IF($U$2&lt;&gt;0,IF(O54*(1+$O$5)&lt;=$U$2,O54*K54*(1+$O$5),$U$2*K54),O54*K54*(1+$O$5)),0)</f>
        <v>0</v>
      </c>
      <c r="D54" s="47">
        <f>IF($J$5&gt;2,IF($U$2&lt;&gt;0,IF(O54*(1+$O$5)^2&lt;=$U$2,O54*L54*(1+$O$5)^2,$U$2*L54),O54*L54*(1+$O$5)^2),0)</f>
        <v>0</v>
      </c>
      <c r="E54" s="47">
        <f>IF($J$5&gt;3,IF($U$2&lt;&gt;0,IF(O54*(1+$O$5)^3&lt;=$U$2,O54*M54*(1+$O$5)^3,$U$2*M54),O54*M54*(1+$O$5)^3),0)</f>
        <v>0</v>
      </c>
      <c r="F54" s="47">
        <f>IF($J$5&gt;4,IF($U$2&lt;&gt;0,IF(O54*(1+$O$5)^4&lt;=$U$2,O54*N54*(1+$O$5)^4,$U$2*N54),O54*N54*(1+$O$5)^4),0)</f>
        <v>0</v>
      </c>
      <c r="G54" s="46">
        <f>SUM(B54:F54)</f>
        <v>0</v>
      </c>
      <c r="H54" s="14"/>
      <c r="I54" s="89" t="s">
        <v>26</v>
      </c>
      <c r="J54" s="265">
        <v>0</v>
      </c>
      <c r="K54" s="265">
        <f>IF($J$5&gt;1,J54,0)</f>
        <v>0</v>
      </c>
      <c r="L54" s="265">
        <f>IF($J$5&gt;2,K54,0)</f>
        <v>0</v>
      </c>
      <c r="M54" s="265">
        <f>IF($J$5&gt;3,L54,0)</f>
        <v>0</v>
      </c>
      <c r="N54" s="265">
        <f>IF($J$5&gt;4,M54,0)</f>
        <v>0</v>
      </c>
      <c r="O54" s="128">
        <f>IF(U53="F",IF($U$2&lt;&gt;0,IF(T53&gt;$U$2,$U$2,T53),T53),0)</f>
        <v>0</v>
      </c>
      <c r="P54" s="135" t="e">
        <f>SUM(J53:N53)/(ROUNDUP($J$5,0)*12)</f>
        <v>#DIV/0!</v>
      </c>
      <c r="Q54" s="136" t="e">
        <f>(SUM(J53:N53)/(CEILING($J$5*12,12)))*12</f>
        <v>#DIV/0!</v>
      </c>
      <c r="T54" s="78"/>
      <c r="U54" s="80"/>
    </row>
    <row r="55" spans="1:22" outlineLevel="2" x14ac:dyDescent="0.25">
      <c r="A55" s="376" t="e">
        <f>ROUND(P54*100,2)&amp;"% Annualized Effort, "&amp;ROUND(Q55,2)&amp;" Avg. Academic Months
"&amp;IF(SUM(J56:N56)&gt;0," and "&amp;Q56 &amp;" Avg. Summer Months", "")</f>
        <v>#DIV/0!</v>
      </c>
      <c r="B55" s="47">
        <f>J55*O55</f>
        <v>0</v>
      </c>
      <c r="C55" s="47">
        <f>IF($J$5&gt;1,IF($U$2&lt;&gt;0,IF(O55*(1+$O$5)&lt;=$U$2*0.75,O55*K55*(1+$O$5),$U$2*0.75*K55),O55*K55*(1+$O$5)),0)</f>
        <v>0</v>
      </c>
      <c r="D55" s="47">
        <f>IF($J$5&gt;2,IF($U$2&lt;&gt;0,IF(O55*(1+$O$5)^2&lt;=$U$2*0.75,O55*L55*(1+$O$5)^2,$U$2*0.75*L55),O55*L55*(1+$O$5)^2),0)</f>
        <v>0</v>
      </c>
      <c r="E55" s="47">
        <f>IF($J$5&gt;3,IF($U$2&lt;&gt;0,IF(O55*(1+$O$5)^3&lt;=$U$2*0.75,O55*M55*(1+$O$5)^3,$U$2*0.75*M55),O55*M55*(1+$O$5)^3),0)</f>
        <v>0</v>
      </c>
      <c r="F55" s="47">
        <f>IF($J$5&gt;4,IF($U$2&lt;&gt;0,IF(O55*(1+$O$5)^4&lt;=$U$2*0.75,O55*N55*(1+$O$5)^4,$U$2*0.75*N55),O55*N55*(1+$O$5)^4),0)</f>
        <v>0</v>
      </c>
      <c r="G55" s="46">
        <f>SUM(B55:F55)</f>
        <v>0</v>
      </c>
      <c r="H55" s="14"/>
      <c r="I55" s="89" t="s">
        <v>15</v>
      </c>
      <c r="J55" s="265">
        <v>0</v>
      </c>
      <c r="K55" s="265">
        <f t="shared" ref="K55:K56" si="31">IF($J$5&gt;1,J55,0)</f>
        <v>0</v>
      </c>
      <c r="L55" s="265">
        <f t="shared" ref="L55:L56" si="32">IF($J$5&gt;2,K55,0)</f>
        <v>0</v>
      </c>
      <c r="M55" s="265">
        <f t="shared" ref="M55:M56" si="33">IF($J$5&gt;3,L55,0)</f>
        <v>0</v>
      </c>
      <c r="N55" s="265">
        <f t="shared" ref="N55:N56" si="34">IF($J$5&gt;4,M55,0)</f>
        <v>0</v>
      </c>
      <c r="O55" s="128">
        <f>IF(U53="A",IF($U$2&lt;&gt;0,IF(T53&gt;($U$2/12*9),($U$2/12*9),T53),T53),0)</f>
        <v>0</v>
      </c>
      <c r="P55" s="143"/>
      <c r="Q55" s="137" t="e">
        <f>((SUM(J53:N53)-SUM(J56:N56))/(CEILING($J$5*9,9)))*9</f>
        <v>#DIV/0!</v>
      </c>
      <c r="R55" s="12"/>
      <c r="S55" s="12"/>
      <c r="T55" s="78"/>
      <c r="U55" s="80"/>
    </row>
    <row r="56" spans="1:22" outlineLevel="2" x14ac:dyDescent="0.25">
      <c r="A56" s="376"/>
      <c r="B56" s="47">
        <f>J56/3*O56</f>
        <v>0</v>
      </c>
      <c r="C56" s="47">
        <f>IF($J$5&gt;1,IF($U$2&lt;&gt;0,IF(O56*(1+$O$5)&lt;=$U$2*0.25,O56*K56/3*(1+$O$5),$U$2*0.25*K56/3),O56*K56/3*(1+$O$5)),0)</f>
        <v>0</v>
      </c>
      <c r="D56" s="47">
        <f>IF($J$5&gt;2,IF($U$2&lt;&gt;0,IF(O56*(1+$O$5)^2&lt;=$U$2*0.25,O56*L56/3*(1+$O$5)^2,$U$2*0.25*L56/3),O56*L56/3*(1+$O$5)^2),0)</f>
        <v>0</v>
      </c>
      <c r="E56" s="47">
        <f>IF($J$5&gt;3,IF($U$2&lt;&gt;0,IF(O56*(1+$O$5)^3&lt;=$U$2*0.25,O56*M56/3*(1+$O$5)^3,$U$2*0.25*M56/3),O56*M56/3*(1+$O$5)^3),0)</f>
        <v>0</v>
      </c>
      <c r="F56" s="47">
        <f>IF($J$5&gt;4,IF($U$2&lt;&gt;0,IF(O56*(1+$O$5)^4&lt;=$U$2*0.25,O56*N56/3*(1+$O$5)^4,$U$2*0.25*N56/3),O56*N56/3*(1+$O$5)^4),0)</f>
        <v>0</v>
      </c>
      <c r="G56" s="46">
        <f>SUM(B56:F56)</f>
        <v>0</v>
      </c>
      <c r="H56" s="14"/>
      <c r="I56" s="90" t="s">
        <v>17</v>
      </c>
      <c r="J56" s="316">
        <v>0</v>
      </c>
      <c r="K56" s="316">
        <f t="shared" si="31"/>
        <v>0</v>
      </c>
      <c r="L56" s="316">
        <f t="shared" si="32"/>
        <v>0</v>
      </c>
      <c r="M56" s="316">
        <f t="shared" si="33"/>
        <v>0</v>
      </c>
      <c r="N56" s="316">
        <f t="shared" si="34"/>
        <v>0</v>
      </c>
      <c r="O56" s="147">
        <f>IF(U53="A",IF($U$2&lt;&gt;0,IF(T53/9*3&gt;($U$2/12*3),($U$2/12*3),T53/9*3),T53/9*3),0)</f>
        <v>0</v>
      </c>
      <c r="P56" s="138"/>
      <c r="Q56" s="138" t="e">
        <f>((SUM(J53:N53)-SUM(J55:N55)*9)/(CEILING($J$5*3,3)))*3</f>
        <v>#DIV/0!</v>
      </c>
      <c r="R56" s="12"/>
      <c r="S56" s="12"/>
      <c r="U56" s="80"/>
      <c r="V56" s="131"/>
    </row>
    <row r="57" spans="1:22" outlineLevel="2" x14ac:dyDescent="0.25">
      <c r="B57" s="47"/>
      <c r="C57" s="47"/>
      <c r="D57" s="48"/>
      <c r="E57" s="48"/>
      <c r="F57" s="48"/>
      <c r="G57" s="46"/>
      <c r="H57" s="14"/>
      <c r="I57" s="45" t="s">
        <v>48</v>
      </c>
      <c r="J57" s="88" t="b">
        <f>IF(J59&gt;0%,IF(J59&lt;50%,IF(J59&gt;0,($U$3/2),0),$U$3),IF(J60&gt;0%,IF(J60&lt;50%,IF(J60&gt;0,($U$3/2),0),$U$3)))</f>
        <v>0</v>
      </c>
      <c r="K57" s="88" t="b">
        <f>IF(K59&gt;0%,IF(K59&lt;50%,IF(K59&gt;0,(($U$3*(1+$V$3))/2),0),($U$3*(1+$V$3))),IF(K60&gt;0%,IF(K60&lt;50%,IF(K60&gt;0,(($U$3*(1+$V$3))/2),0),($U$3*(1+$V$3)))))</f>
        <v>0</v>
      </c>
      <c r="L57" s="88" t="b">
        <f>IF(L59&gt;0%,IF(L59&lt;50%,IF(L59&gt;0,(($U$3*(1+$V$3)^2)/2),0),($U$3*(1+$V$3)^2)),IF(L60&gt;0%,IF(L60&lt;50%,IF(L60&gt;0,(($U$3*(1+$V$3)^2)/2),0),($U$3*(1+$V$3)^2))))</f>
        <v>0</v>
      </c>
      <c r="M57" s="88" t="b">
        <f>IF(M59&gt;0%,IF(M59&lt;50%,IF(M59&gt;0,(($U$3*(1+$V$3)^3)/2),0),($U$3*(1+$V$3)^3)),IF(M60&gt;0%,IF(M60&lt;50%,IF(M60&gt;0,(($U$3*(1+$V$3)^3)/2),0),($U$3*(1+$V$3)^3))))</f>
        <v>0</v>
      </c>
      <c r="N57" s="88" t="b">
        <f>IF(N59&gt;0%,IF(N59&lt;50%,IF(N59&gt;0,(($U$3*(1+$V$3)^4)/2),0),($U$3*(1+$V$3)^4)),IF(N60&gt;0%,IF(N60&lt;50%,IF(N60&gt;0,(($U$3*(1+$V$3)^4)/2),0),($U$3*(1+$V$3)^4))))</f>
        <v>0</v>
      </c>
      <c r="O57" s="41" t="s">
        <v>51</v>
      </c>
      <c r="P57" s="134"/>
      <c r="Q57" s="134"/>
      <c r="V57" s="1"/>
    </row>
    <row r="58" spans="1:22" outlineLevel="2" x14ac:dyDescent="0.25">
      <c r="A58" s="22" t="s">
        <v>85</v>
      </c>
      <c r="B58" s="47"/>
      <c r="C58" s="47"/>
      <c r="D58" s="48"/>
      <c r="E58" s="48"/>
      <c r="F58" s="48"/>
      <c r="G58" s="46"/>
      <c r="H58" s="14"/>
      <c r="I58" s="89" t="s">
        <v>132</v>
      </c>
      <c r="J58" s="5">
        <f>IF($U58="F",J59*12,SUM(J60*9,J61))</f>
        <v>0</v>
      </c>
      <c r="K58" s="5">
        <f t="shared" ref="K58:N58" si="35">IF($U58="F",K59*12,SUM(K60*9,K61))</f>
        <v>0</v>
      </c>
      <c r="L58" s="5">
        <f t="shared" si="35"/>
        <v>0</v>
      </c>
      <c r="M58" s="5">
        <f t="shared" si="35"/>
        <v>0</v>
      </c>
      <c r="N58" s="5">
        <f t="shared" si="35"/>
        <v>0</v>
      </c>
      <c r="O58" s="41"/>
      <c r="P58" s="134" t="s">
        <v>130</v>
      </c>
      <c r="Q58" s="134" t="s">
        <v>131</v>
      </c>
      <c r="T58" s="311">
        <v>0</v>
      </c>
      <c r="U58" s="312"/>
      <c r="V58" s="1"/>
    </row>
    <row r="59" spans="1:22" outlineLevel="2" x14ac:dyDescent="0.25">
      <c r="A59" s="13" t="e">
        <f>ROUND(P59*100, 2)&amp;"% Avg. Fiscal Effort, "&amp;ROUND(Q59, 2)&amp;" Avg. Calendar Months"</f>
        <v>#DIV/0!</v>
      </c>
      <c r="B59" s="47">
        <f>O59*J59</f>
        <v>0</v>
      </c>
      <c r="C59" s="47">
        <f>IF($J$5&gt;1,IF($U$2&lt;&gt;0,IF(O59*(1+$O$5)&lt;=$U$2,O59*K59*(1+$O$5),$U$2*K59),O59*K59*(1+$O$5)),0)</f>
        <v>0</v>
      </c>
      <c r="D59" s="47">
        <f>IF($J$5&gt;2,IF($U$2&lt;&gt;0,IF(O59*(1+$O$5)^2&lt;=$U$2,O59*L59*(1+$O$5)^2,$U$2*L59),O59*L59*(1+$O$5)^2),0)</f>
        <v>0</v>
      </c>
      <c r="E59" s="47">
        <f>IF($J$5&gt;3,IF($U$2&lt;&gt;0,IF(O59*(1+$O$5)^3&lt;=$U$2,O59*M59*(1+$O$5)^3,$U$2*M59),O59*M59*(1+$O$5)^3),0)</f>
        <v>0</v>
      </c>
      <c r="F59" s="47">
        <f>IF($J$5&gt;4,IF($U$2&lt;&gt;0,IF(O59*(1+$O$5)^4&lt;=$U$2,O59*N59*(1+$O$5)^4,$U$2*N59),O59*N59*(1+$O$5)^4),0)</f>
        <v>0</v>
      </c>
      <c r="G59" s="46">
        <f>SUM(B59:F59)</f>
        <v>0</v>
      </c>
      <c r="H59" s="14"/>
      <c r="I59" s="89" t="s">
        <v>26</v>
      </c>
      <c r="J59" s="265">
        <v>0</v>
      </c>
      <c r="K59" s="265">
        <f>IF($J$5&gt;1,J59,0)</f>
        <v>0</v>
      </c>
      <c r="L59" s="265">
        <f>IF($J$5&gt;2,K59,0)</f>
        <v>0</v>
      </c>
      <c r="M59" s="265">
        <f>IF($J$5&gt;3,L59,0)</f>
        <v>0</v>
      </c>
      <c r="N59" s="265">
        <f>IF($J$5&gt;4,M59,0)</f>
        <v>0</v>
      </c>
      <c r="O59" s="128">
        <f>IF(U58="F",IF($U$2&lt;&gt;0,IF(T58&gt;$U$2,$U$2,T58),T58),0)</f>
        <v>0</v>
      </c>
      <c r="P59" s="135" t="e">
        <f>SUM(J58:N58)/(ROUNDUP($J$5,0)*12)</f>
        <v>#DIV/0!</v>
      </c>
      <c r="Q59" s="136" t="e">
        <f>(SUM(J58:N58)/(CEILING($J$5*12,12)))*12</f>
        <v>#DIV/0!</v>
      </c>
      <c r="T59" s="78"/>
      <c r="U59" s="80"/>
    </row>
    <row r="60" spans="1:22" outlineLevel="2" x14ac:dyDescent="0.25">
      <c r="A60" s="376" t="e">
        <f>ROUND(P59*100,2)&amp;"% Annualized Effort, "&amp;ROUND(Q60,2)&amp;" Avg. Academic Months
"&amp;IF(SUM(J61:N61)&gt;0," and "&amp;Q61 &amp;" Avg. Summer Months", "")</f>
        <v>#DIV/0!</v>
      </c>
      <c r="B60" s="47">
        <f>J60*O60</f>
        <v>0</v>
      </c>
      <c r="C60" s="47">
        <f>IF($J$5&gt;1,IF($U$2&lt;&gt;0,IF(O60*(1+$O$5)&lt;=$U$2*0.75,O60*K60*(1+$O$5),$U$2*0.75*K60),O60*K60*(1+$O$5)),0)</f>
        <v>0</v>
      </c>
      <c r="D60" s="47">
        <f>IF($J$5&gt;2,IF($U$2&lt;&gt;0,IF(O60*(1+$O$5)^2&lt;=$U$2*0.75,O60*L60*(1+$O$5)^2,$U$2*0.75*L60),O60*L60*(1+$O$5)^2),0)</f>
        <v>0</v>
      </c>
      <c r="E60" s="47">
        <f>IF($J$5&gt;3,IF($U$2&lt;&gt;0,IF(O60*(1+$O$5)^3&lt;=$U$2*0.75,O60*M60*(1+$O$5)^3,$U$2*0.75*M60),O60*M60*(1+$O$5)^3),0)</f>
        <v>0</v>
      </c>
      <c r="F60" s="47">
        <f>IF($J$5&gt;4,IF($U$2&lt;&gt;0,IF(O60*(1+$O$5)^4&lt;=$U$2*0.75,O60*N60*(1+$O$5)^4,$U$2*0.75*N60),O60*N60*(1+$O$5)^4),0)</f>
        <v>0</v>
      </c>
      <c r="G60" s="46">
        <f>SUM(B60:F60)</f>
        <v>0</v>
      </c>
      <c r="H60" s="14"/>
      <c r="I60" s="89" t="s">
        <v>15</v>
      </c>
      <c r="J60" s="265">
        <v>0</v>
      </c>
      <c r="K60" s="265">
        <f t="shared" ref="K60:K61" si="36">IF($J$5&gt;1,J60,0)</f>
        <v>0</v>
      </c>
      <c r="L60" s="265">
        <f t="shared" ref="L60:L61" si="37">IF($J$5&gt;2,K60,0)</f>
        <v>0</v>
      </c>
      <c r="M60" s="265">
        <f t="shared" ref="M60:M61" si="38">IF($J$5&gt;3,L60,0)</f>
        <v>0</v>
      </c>
      <c r="N60" s="265">
        <f t="shared" ref="N60:N61" si="39">IF($J$5&gt;4,M60,0)</f>
        <v>0</v>
      </c>
      <c r="O60" s="128">
        <f>IF(U58="A",IF($U$2&lt;&gt;0,IF(T58&gt;($U$2/12*9),($U$2/12*9),T58),T58),0)</f>
        <v>0</v>
      </c>
      <c r="P60" s="143"/>
      <c r="Q60" s="137" t="e">
        <f>((SUM(J58:N58)-SUM(J61:N61))/(CEILING($J$5*9,9)))*9</f>
        <v>#DIV/0!</v>
      </c>
      <c r="R60" s="12"/>
      <c r="S60" s="12"/>
      <c r="T60" s="78"/>
      <c r="U60" s="80"/>
    </row>
    <row r="61" spans="1:22" outlineLevel="2" x14ac:dyDescent="0.25">
      <c r="A61" s="376"/>
      <c r="B61" s="47">
        <f>J61/3*O61</f>
        <v>0</v>
      </c>
      <c r="C61" s="47">
        <f>IF($J$5&gt;1,IF($U$2&lt;&gt;0,IF(O61*(1+$O$5)&lt;=$U$2*0.25,O61*K61/3*(1+$O$5),$U$2*0.25*K61/3),O61*K61/3*(1+$O$5)),0)</f>
        <v>0</v>
      </c>
      <c r="D61" s="47">
        <f>IF($J$5&gt;2,IF($U$2&lt;&gt;0,IF(O61*(1+$O$5)^2&lt;=$U$2*0.25,O61*L61/3*(1+$O$5)^2,$U$2*0.25*L61/3),O61*L61/3*(1+$O$5)^2),0)</f>
        <v>0</v>
      </c>
      <c r="E61" s="47">
        <f>IF($J$5&gt;3,IF($U$2&lt;&gt;0,IF(O61*(1+$O$5)^3&lt;=$U$2*0.25,O61*M61/3*(1+$O$5)^3,$U$2*0.25*M61/3),O61*M61/3*(1+$O$5)^3),0)</f>
        <v>0</v>
      </c>
      <c r="F61" s="47">
        <f>IF($J$5&gt;4,IF($U$2&lt;&gt;0,IF(O61*(1+$O$5)^4&lt;=$U$2*0.25,O61*N61/3*(1+$O$5)^4,$U$2*0.25*N61/3),O61*N61/3*(1+$O$5)^4),0)</f>
        <v>0</v>
      </c>
      <c r="G61" s="46">
        <f>SUM(B61:F61)</f>
        <v>0</v>
      </c>
      <c r="H61" s="14"/>
      <c r="I61" s="90" t="s">
        <v>17</v>
      </c>
      <c r="J61" s="316">
        <v>0</v>
      </c>
      <c r="K61" s="316">
        <f t="shared" si="36"/>
        <v>0</v>
      </c>
      <c r="L61" s="316">
        <f t="shared" si="37"/>
        <v>0</v>
      </c>
      <c r="M61" s="316">
        <f t="shared" si="38"/>
        <v>0</v>
      </c>
      <c r="N61" s="316">
        <f t="shared" si="39"/>
        <v>0</v>
      </c>
      <c r="O61" s="147">
        <f>IF(U58="A",IF($U$2&lt;&gt;0,IF(T58/9*3&gt;($U$2/12*3),($U$2/12*3),T58/9*3),T58/9*3),0)</f>
        <v>0</v>
      </c>
      <c r="P61" s="138"/>
      <c r="Q61" s="138" t="e">
        <f>((SUM(J58:N58)-SUM(J60:N60)*9)/(CEILING($J$5*3,3)))*3</f>
        <v>#DIV/0!</v>
      </c>
      <c r="R61" s="12"/>
      <c r="S61" s="12"/>
      <c r="U61" s="80"/>
      <c r="V61" s="131"/>
    </row>
    <row r="62" spans="1:22" outlineLevel="2" x14ac:dyDescent="0.25">
      <c r="B62" s="47"/>
      <c r="C62" s="47"/>
      <c r="D62" s="47"/>
      <c r="E62" s="47"/>
      <c r="F62" s="47"/>
      <c r="G62" s="46"/>
      <c r="H62" s="14"/>
      <c r="I62" s="45" t="s">
        <v>48</v>
      </c>
      <c r="J62" s="88" t="b">
        <f>IF(J64&gt;0%,IF(J64&lt;50%,IF(J64&gt;0,($U$3/2),0),$U$3),IF(J65&gt;0%,IF(J65&lt;50%,IF(J65&gt;0,($U$3/2),0),$U$3)))</f>
        <v>0</v>
      </c>
      <c r="K62" s="88" t="b">
        <f>IF(K64&gt;0%,IF(K64&lt;50%,IF(K64&gt;0,(($U$3*(1+$V$3))/2),0),($U$3*(1+$V$3))),IF(K65&gt;0%,IF(K65&lt;50%,IF(K65&gt;0,(($U$3*(1+$V$3))/2),0),($U$3*(1+$V$3)))))</f>
        <v>0</v>
      </c>
      <c r="L62" s="88" t="b">
        <f>IF(L64&gt;0%,IF(L64&lt;50%,IF(L64&gt;0,(($U$3*(1+$V$3)^2)/2),0),($U$3*(1+$V$3)^2)),IF(L65&gt;0%,IF(L65&lt;50%,IF(L65&gt;0,(($U$3*(1+$V$3)^2)/2),0),($U$3*(1+$V$3)^2))))</f>
        <v>0</v>
      </c>
      <c r="M62" s="88" t="b">
        <f>IF(M64&gt;0%,IF(M64&lt;50%,IF(M64&gt;0,(($U$3*(1+$V$3)^3)/2),0),($U$3*(1+$V$3)^3)),IF(M65&gt;0%,IF(M65&lt;50%,IF(M65&gt;0,(($U$3*(1+$V$3)^3)/2),0),($U$3*(1+$V$3)^3))))</f>
        <v>0</v>
      </c>
      <c r="N62" s="88" t="b">
        <f>IF(N64&gt;0%,IF(N64&lt;50%,IF(N64&gt;0,(($U$3*(1+$V$3)^4)/2),0),($U$3*(1+$V$3)^4)),IF(N65&gt;0%,IF(N65&lt;50%,IF(N65&gt;0,(($U$3*(1+$V$3)^4)/2),0),($U$3*(1+$V$3)^4))))</f>
        <v>0</v>
      </c>
      <c r="O62" s="41" t="s">
        <v>51</v>
      </c>
      <c r="P62" s="134"/>
      <c r="Q62" s="134"/>
      <c r="V62" s="1"/>
    </row>
    <row r="63" spans="1:22" outlineLevel="2" x14ac:dyDescent="0.25">
      <c r="A63" s="22" t="s">
        <v>85</v>
      </c>
      <c r="B63" s="47"/>
      <c r="C63" s="47"/>
      <c r="D63" s="47"/>
      <c r="E63" s="47"/>
      <c r="F63" s="47"/>
      <c r="G63" s="46"/>
      <c r="H63" s="14"/>
      <c r="I63" s="89" t="s">
        <v>132</v>
      </c>
      <c r="J63" s="5">
        <f>IF($U63="F",J64*12,SUM(J65*9,J66))</f>
        <v>0</v>
      </c>
      <c r="K63" s="5">
        <f t="shared" ref="K63:N63" si="40">IF($U63="F",K64*12,SUM(K65*9,K66))</f>
        <v>0</v>
      </c>
      <c r="L63" s="5">
        <f t="shared" si="40"/>
        <v>0</v>
      </c>
      <c r="M63" s="5">
        <f t="shared" si="40"/>
        <v>0</v>
      </c>
      <c r="N63" s="5">
        <f t="shared" si="40"/>
        <v>0</v>
      </c>
      <c r="O63" s="41"/>
      <c r="P63" s="134" t="s">
        <v>130</v>
      </c>
      <c r="Q63" s="134" t="s">
        <v>131</v>
      </c>
      <c r="T63" s="311">
        <v>0</v>
      </c>
      <c r="U63" s="312"/>
      <c r="V63" s="1"/>
    </row>
    <row r="64" spans="1:22" outlineLevel="2" x14ac:dyDescent="0.25">
      <c r="A64" s="13" t="e">
        <f>ROUND(P64*100, 2)&amp;"% Avg. Fiscal Effort, "&amp;ROUND(Q64, 2)&amp;" Avg. Calendar Months"</f>
        <v>#DIV/0!</v>
      </c>
      <c r="B64" s="47">
        <f>O64*J64</f>
        <v>0</v>
      </c>
      <c r="C64" s="47">
        <f>IF($J$5&gt;1,IF($U$2&lt;&gt;0,IF(O64*(1+$O$5)&lt;=$U$2,O64*K64*(1+$O$5),$U$2*K64),O64*K64*(1+$O$5)),0)</f>
        <v>0</v>
      </c>
      <c r="D64" s="47">
        <f>IF($J$5&gt;2,IF($U$2&lt;&gt;0,IF(O64*(1+$O$5)^2&lt;=$U$2,O64*L64*(1+$O$5)^2,$U$2*L64),O64*L64*(1+$O$5)^2),0)</f>
        <v>0</v>
      </c>
      <c r="E64" s="47">
        <f>IF($J$5&gt;3,IF($U$2&lt;&gt;0,IF(O64*(1+$O$5)^3&lt;=$U$2,O64*M64*(1+$O$5)^3,$U$2*M64),O64*M64*(1+$O$5)^3),0)</f>
        <v>0</v>
      </c>
      <c r="F64" s="47">
        <f>IF($J$5&gt;4,IF($U$2&lt;&gt;0,IF(O64*(1+$O$5)^4&lt;=$U$2,O64*N64*(1+$O$5)^4,$U$2*N64),O64*N64*(1+$O$5)^4),0)</f>
        <v>0</v>
      </c>
      <c r="G64" s="46">
        <f>SUM(B64:F64)</f>
        <v>0</v>
      </c>
      <c r="H64" s="14"/>
      <c r="I64" s="89" t="s">
        <v>26</v>
      </c>
      <c r="J64" s="265">
        <v>0</v>
      </c>
      <c r="K64" s="265">
        <f>IF($J$5&gt;1,J64,0)</f>
        <v>0</v>
      </c>
      <c r="L64" s="265">
        <f>IF($J$5&gt;2,K64,0)</f>
        <v>0</v>
      </c>
      <c r="M64" s="265">
        <f>IF($J$5&gt;3,L64,0)</f>
        <v>0</v>
      </c>
      <c r="N64" s="265">
        <f>IF($J$5&gt;4,M64,0)</f>
        <v>0</v>
      </c>
      <c r="O64" s="128">
        <f>IF(U63="F",IF($U$2&lt;&gt;0,IF(T63&gt;$U$2,$U$2,T63),T63),0)</f>
        <v>0</v>
      </c>
      <c r="P64" s="135" t="e">
        <f>SUM(J63:N63)/(ROUNDUP($J$5,0)*12)</f>
        <v>#DIV/0!</v>
      </c>
      <c r="Q64" s="136" t="e">
        <f>(SUM(J63:N63)/(CEILING($J$5*12,12)))*12</f>
        <v>#DIV/0!</v>
      </c>
      <c r="T64" s="78"/>
      <c r="U64" s="80"/>
    </row>
    <row r="65" spans="1:22" outlineLevel="2" x14ac:dyDescent="0.25">
      <c r="A65" s="376" t="e">
        <f>ROUND(P64*100,2)&amp;"% Annualized Effort, "&amp;ROUND(Q65,2)&amp;" Avg. Academic Months
"&amp;IF(SUM(J66:N66)&gt;0," and "&amp;Q66 &amp;" Avg. Summer Months", "")</f>
        <v>#DIV/0!</v>
      </c>
      <c r="B65" s="47">
        <f>J65*O65</f>
        <v>0</v>
      </c>
      <c r="C65" s="47">
        <f>IF($J$5&gt;1,IF($U$2&lt;&gt;0,IF(O65*(1+$O$5)&lt;=$U$2*0.75,O65*K65*(1+$O$5),$U$2*0.75*K65),O65*K65*(1+$O$5)),0)</f>
        <v>0</v>
      </c>
      <c r="D65" s="47">
        <f>IF($J$5&gt;2,IF($U$2&lt;&gt;0,IF(O65*(1+$O$5)^2&lt;=$U$2*0.75,O65*L65*(1+$O$5)^2,$U$2*0.75*L65),O65*L65*(1+$O$5)^2),0)</f>
        <v>0</v>
      </c>
      <c r="E65" s="47">
        <f>IF($J$5&gt;3,IF($U$2&lt;&gt;0,IF(O65*(1+$O$5)^3&lt;=$U$2*0.75,O65*M65*(1+$O$5)^3,$U$2*0.75*M65),O65*M65*(1+$O$5)^3),0)</f>
        <v>0</v>
      </c>
      <c r="F65" s="47">
        <f>IF($J$5&gt;4,IF($U$2&lt;&gt;0,IF(O65*(1+$O$5)^4&lt;=$U$2*0.75,O65*N65*(1+$O$5)^4,$U$2*0.75*N65),O65*N65*(1+$O$5)^4),0)</f>
        <v>0</v>
      </c>
      <c r="G65" s="46">
        <f>SUM(B65:F65)</f>
        <v>0</v>
      </c>
      <c r="H65" s="14"/>
      <c r="I65" s="89" t="s">
        <v>15</v>
      </c>
      <c r="J65" s="265">
        <v>0</v>
      </c>
      <c r="K65" s="265">
        <f t="shared" ref="K65:K66" si="41">IF($J$5&gt;1,J65,0)</f>
        <v>0</v>
      </c>
      <c r="L65" s="265">
        <f t="shared" ref="L65:L66" si="42">IF($J$5&gt;2,K65,0)</f>
        <v>0</v>
      </c>
      <c r="M65" s="265">
        <f t="shared" ref="M65:M66" si="43">IF($J$5&gt;3,L65,0)</f>
        <v>0</v>
      </c>
      <c r="N65" s="265">
        <f t="shared" ref="N65:N66" si="44">IF($J$5&gt;4,M65,0)</f>
        <v>0</v>
      </c>
      <c r="O65" s="128">
        <f>IF(U63="A",IF($U$2&lt;&gt;0,IF(T63&gt;($U$2/12*9),($U$2/12*9),T63),T63),0)</f>
        <v>0</v>
      </c>
      <c r="P65" s="143"/>
      <c r="Q65" s="137" t="e">
        <f>((SUM(J63:N63)-SUM(J66:N66))/(CEILING($J$5*9,9)))*9</f>
        <v>#DIV/0!</v>
      </c>
      <c r="R65" s="12"/>
      <c r="S65" s="12"/>
      <c r="T65" s="78"/>
      <c r="U65" s="80"/>
    </row>
    <row r="66" spans="1:22" outlineLevel="2" x14ac:dyDescent="0.25">
      <c r="A66" s="376"/>
      <c r="B66" s="47">
        <f>J66/3*O66</f>
        <v>0</v>
      </c>
      <c r="C66" s="47">
        <f>IF($J$5&gt;1,IF($U$2&lt;&gt;0,IF(O66*(1+$O$5)&lt;=$U$2*0.25,O66*K66/3*(1+$O$5),$U$2*0.25*K66/3),O66*K66/3*(1+$O$5)),0)</f>
        <v>0</v>
      </c>
      <c r="D66" s="47">
        <f>IF($J$5&gt;2,IF($U$2&lt;&gt;0,IF(O66*(1+$O$5)^2&lt;=$U$2*0.25,O66*L66/3*(1+$O$5)^2,$U$2*0.25*L66/3),O66*L66/3*(1+$O$5)^2),0)</f>
        <v>0</v>
      </c>
      <c r="E66" s="47">
        <f>IF($J$5&gt;3,IF($U$2&lt;&gt;0,IF(O66*(1+$O$5)^3&lt;=$U$2*0.25,O66*M66/3*(1+$O$5)^3,$U$2*0.25*M66/3),O66*M66/3*(1+$O$5)^3),0)</f>
        <v>0</v>
      </c>
      <c r="F66" s="47">
        <f>IF($J$5&gt;4,IF($U$2&lt;&gt;0,IF(O66*(1+$O$5)^4&lt;=$U$2*0.25,O66*N66/3*(1+$O$5)^4,$U$2*0.25*N66/3),O66*N66/3*(1+$O$5)^4),0)</f>
        <v>0</v>
      </c>
      <c r="G66" s="46">
        <f>SUM(B66:F66)</f>
        <v>0</v>
      </c>
      <c r="H66" s="14"/>
      <c r="I66" s="89" t="s">
        <v>17</v>
      </c>
      <c r="J66" s="316">
        <v>0</v>
      </c>
      <c r="K66" s="316">
        <f t="shared" si="41"/>
        <v>0</v>
      </c>
      <c r="L66" s="316">
        <f t="shared" si="42"/>
        <v>0</v>
      </c>
      <c r="M66" s="316">
        <f t="shared" si="43"/>
        <v>0</v>
      </c>
      <c r="N66" s="316">
        <f t="shared" si="44"/>
        <v>0</v>
      </c>
      <c r="O66" s="147">
        <f>IF(U63="A",IF($U$2&lt;&gt;0,IF(T63/9*3&gt;($U$2/12*3),($U$2/12*3),T63/9*3),T63/9*3),0)</f>
        <v>0</v>
      </c>
      <c r="P66" s="138"/>
      <c r="Q66" s="138" t="e">
        <f>((SUM(J63:N63)-SUM(J65:N65)*9)/(CEILING($J$5*3,3)))*3</f>
        <v>#DIV/0!</v>
      </c>
      <c r="R66" s="12"/>
      <c r="S66" s="12"/>
      <c r="U66" s="80"/>
      <c r="V66" s="131"/>
    </row>
    <row r="67" spans="1:22" outlineLevel="2" x14ac:dyDescent="0.25">
      <c r="A67" s="13"/>
      <c r="B67" s="47"/>
      <c r="C67" s="47"/>
      <c r="D67" s="48"/>
      <c r="E67" s="48"/>
      <c r="F67" s="48"/>
      <c r="G67" s="46"/>
      <c r="H67" s="14"/>
      <c r="I67" s="34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72" t="s">
        <v>50</v>
      </c>
      <c r="P67" s="135"/>
      <c r="Q67" s="135"/>
      <c r="V67" s="1"/>
    </row>
    <row r="68" spans="1:22" outlineLevel="2" x14ac:dyDescent="0.25">
      <c r="A68" s="22" t="str">
        <f>"TBN, Student Worker ("&amp;J68&amp;")"</f>
        <v>TBN, Student Worker (0)</v>
      </c>
      <c r="B68" s="47"/>
      <c r="C68" s="47"/>
      <c r="D68" s="48"/>
      <c r="E68" s="48"/>
      <c r="F68" s="48"/>
      <c r="G68" s="46"/>
      <c r="H68" s="14"/>
      <c r="I68" s="4" t="s">
        <v>49</v>
      </c>
      <c r="J68" s="276">
        <v>0</v>
      </c>
      <c r="K68" s="117"/>
      <c r="L68" s="117"/>
      <c r="M68" s="117"/>
      <c r="N68" s="117"/>
      <c r="O68" s="318">
        <v>0</v>
      </c>
      <c r="P68" s="135"/>
      <c r="Q68" s="135"/>
      <c r="V68" s="1"/>
    </row>
    <row r="69" spans="1:22" outlineLevel="2" x14ac:dyDescent="0.25">
      <c r="A69" s="13" t="str">
        <f>J69&amp;" hours per student @ $"&amp;O68&amp;"/hour"</f>
        <v xml:space="preserve"> hours per student @ $0/hour</v>
      </c>
      <c r="B69" s="47">
        <f>J68*J69*O68</f>
        <v>0</v>
      </c>
      <c r="C69" s="47">
        <f>IF($J$5&gt;1,$J$68*K69*$O$68*(1+$O$5),0)</f>
        <v>0</v>
      </c>
      <c r="D69" s="47">
        <f>IF($J$5&gt;2,$J$68*L69*$O$68*(1+$O$5)^2,0)</f>
        <v>0</v>
      </c>
      <c r="E69" s="47">
        <f>IF($J$5&gt;3,$J$68*M69*$O$68*(1+$O$5)^3,0)</f>
        <v>0</v>
      </c>
      <c r="F69" s="47">
        <f>IF($J$5&gt;4,$J$68*N69*$O$68*(1+$O$5)^4,0)</f>
        <v>0</v>
      </c>
      <c r="G69" s="46">
        <f>SUM(B69:F69)</f>
        <v>0</v>
      </c>
      <c r="H69" s="14"/>
      <c r="I69" s="20" t="s">
        <v>56</v>
      </c>
      <c r="J69" s="317"/>
      <c r="K69" s="316">
        <f t="shared" ref="K69" si="45">IF($J$5&gt;1,J69,0)</f>
        <v>0</v>
      </c>
      <c r="L69" s="317">
        <f t="shared" ref="L69" si="46">IF($J$5&gt;2,K69,0)</f>
        <v>0</v>
      </c>
      <c r="M69" s="317">
        <f t="shared" ref="M69" si="47">IF($J$5&gt;3,L69,0)</f>
        <v>0</v>
      </c>
      <c r="N69" s="317">
        <f t="shared" ref="N69" si="48">IF($J$5&gt;4,M69,0)</f>
        <v>0</v>
      </c>
      <c r="O69" s="21"/>
      <c r="P69" s="135"/>
      <c r="Q69" s="135"/>
      <c r="V69" s="1"/>
    </row>
    <row r="70" spans="1:22" outlineLevel="2" x14ac:dyDescent="0.25">
      <c r="A70" s="13"/>
      <c r="B70" s="47"/>
      <c r="C70" s="47"/>
      <c r="D70" s="47"/>
      <c r="E70" s="47"/>
      <c r="F70" s="47"/>
      <c r="G70" s="46"/>
      <c r="H70" s="14"/>
      <c r="I70" s="4"/>
      <c r="J70" s="117"/>
      <c r="K70" s="117"/>
      <c r="L70" s="117"/>
      <c r="M70" s="117"/>
      <c r="N70" s="117"/>
      <c r="O70" s="43" t="s">
        <v>50</v>
      </c>
      <c r="P70" s="135"/>
      <c r="Q70" s="135"/>
      <c r="V70" s="1"/>
    </row>
    <row r="71" spans="1:22" outlineLevel="2" x14ac:dyDescent="0.25">
      <c r="A71" s="22" t="str">
        <f>"TBN, Student Worker ("&amp;J71&amp;")"</f>
        <v>TBN, Student Worker (0)</v>
      </c>
      <c r="B71" s="47"/>
      <c r="C71" s="47"/>
      <c r="D71" s="48"/>
      <c r="E71" s="48"/>
      <c r="F71" s="48"/>
      <c r="G71" s="46"/>
      <c r="H71" s="14"/>
      <c r="I71" s="4" t="s">
        <v>49</v>
      </c>
      <c r="J71" s="276">
        <v>0</v>
      </c>
      <c r="K71" s="117"/>
      <c r="L71" s="117"/>
      <c r="M71" s="117"/>
      <c r="N71" s="117"/>
      <c r="O71" s="318">
        <v>0</v>
      </c>
      <c r="P71" s="135"/>
      <c r="Q71" s="135"/>
      <c r="V71" s="1"/>
    </row>
    <row r="72" spans="1:22" outlineLevel="2" x14ac:dyDescent="0.25">
      <c r="A72" s="13" t="str">
        <f>J72&amp;" hours per student @ $"&amp;O71&amp;"/hour"</f>
        <v xml:space="preserve"> hours per student @ $0/hour</v>
      </c>
      <c r="B72" s="47">
        <f>J71*J72*O71</f>
        <v>0</v>
      </c>
      <c r="C72" s="47">
        <f>IF($J$5&gt;1,$J$71*K72*$O$71*(1+$O$5),0)</f>
        <v>0</v>
      </c>
      <c r="D72" s="47">
        <f>IF($J$5&gt;2,$J$71*L72*$O$71*(1+$O$5)^2,0)</f>
        <v>0</v>
      </c>
      <c r="E72" s="47">
        <f>IF($J$5&gt;3,$J$71*M72*$O$71*(1+$O$5)^3,0)</f>
        <v>0</v>
      </c>
      <c r="F72" s="47">
        <f>IF($J$5&gt;4,$J$71*N72*$O$71*(1+$O$5)^4,0)</f>
        <v>0</v>
      </c>
      <c r="G72" s="46">
        <f>SUM(B72:F72)</f>
        <v>0</v>
      </c>
      <c r="H72" s="14"/>
      <c r="I72" s="20" t="s">
        <v>56</v>
      </c>
      <c r="J72" s="317"/>
      <c r="K72" s="316">
        <f t="shared" ref="K72" si="49">IF($J$5&gt;1,J72,0)</f>
        <v>0</v>
      </c>
      <c r="L72" s="317">
        <f t="shared" ref="L72" si="50">IF($J$5&gt;2,K72,0)</f>
        <v>0</v>
      </c>
      <c r="M72" s="317">
        <f t="shared" ref="M72" si="51">IF($J$5&gt;3,L72,0)</f>
        <v>0</v>
      </c>
      <c r="N72" s="317">
        <f t="shared" ref="N72" si="52">IF($J$5&gt;4,M72,0)</f>
        <v>0</v>
      </c>
      <c r="O72" s="21"/>
      <c r="P72" s="135"/>
      <c r="Q72" s="135"/>
      <c r="V72" s="1"/>
    </row>
    <row r="73" spans="1:22" outlineLevel="2" x14ac:dyDescent="0.25">
      <c r="A73" s="13"/>
      <c r="B73" s="47"/>
      <c r="C73" s="47"/>
      <c r="D73" s="47"/>
      <c r="E73" s="47"/>
      <c r="F73" s="47"/>
      <c r="G73" s="46"/>
      <c r="H73" s="14"/>
      <c r="I73" s="4"/>
      <c r="J73" s="117"/>
      <c r="K73" s="117"/>
      <c r="L73" s="117"/>
      <c r="M73" s="117"/>
      <c r="N73" s="117"/>
      <c r="O73" s="43" t="s">
        <v>50</v>
      </c>
      <c r="P73" s="135"/>
      <c r="Q73" s="135"/>
      <c r="V73" s="1"/>
    </row>
    <row r="74" spans="1:22" outlineLevel="2" x14ac:dyDescent="0.25">
      <c r="A74" s="22" t="str">
        <f>"TBN, Student Worker ("&amp;J74&amp;")"</f>
        <v>TBN, Student Worker (0)</v>
      </c>
      <c r="B74" s="47"/>
      <c r="C74" s="47"/>
      <c r="D74" s="48"/>
      <c r="E74" s="48"/>
      <c r="F74" s="48"/>
      <c r="G74" s="46"/>
      <c r="H74" s="14"/>
      <c r="I74" s="4" t="s">
        <v>49</v>
      </c>
      <c r="J74" s="276">
        <v>0</v>
      </c>
      <c r="K74" s="117"/>
      <c r="L74" s="117"/>
      <c r="M74" s="117"/>
      <c r="N74" s="117"/>
      <c r="O74" s="318">
        <v>0</v>
      </c>
      <c r="P74" s="135"/>
      <c r="Q74" s="135"/>
      <c r="V74" s="1"/>
    </row>
    <row r="75" spans="1:22" outlineLevel="2" x14ac:dyDescent="0.25">
      <c r="A75" s="13" t="str">
        <f>J75&amp;" hours per student @ $"&amp;O74&amp;"/hour"</f>
        <v xml:space="preserve"> hours per student @ $0/hour</v>
      </c>
      <c r="B75" s="47">
        <f>J74*J75*O74</f>
        <v>0</v>
      </c>
      <c r="C75" s="47">
        <f>IF($J$5&gt;1,$J$74*K75*$O$74*(1+$O$5),0)</f>
        <v>0</v>
      </c>
      <c r="D75" s="47">
        <f>IF($J$5&gt;2,$J$74*L75*$O$74*(1+$O$5)^2,0)</f>
        <v>0</v>
      </c>
      <c r="E75" s="47">
        <f>IF($J$5&gt;3,$J$74*M75*$O$74*(1+$O$5)^3,0)</f>
        <v>0</v>
      </c>
      <c r="F75" s="47">
        <f>IF($J$5&gt;4,$J$74*N75*$O$74*(1+$O$5)^4,0)</f>
        <v>0</v>
      </c>
      <c r="G75" s="46">
        <f>SUM(B75:F75)</f>
        <v>0</v>
      </c>
      <c r="H75" s="14"/>
      <c r="I75" s="20" t="s">
        <v>56</v>
      </c>
      <c r="J75" s="317"/>
      <c r="K75" s="316">
        <f t="shared" ref="K75" si="53">IF($J$5&gt;1,J75,0)</f>
        <v>0</v>
      </c>
      <c r="L75" s="317">
        <f t="shared" ref="L75" si="54">IF($J$5&gt;2,K75,0)</f>
        <v>0</v>
      </c>
      <c r="M75" s="317">
        <f t="shared" ref="M75" si="55">IF($J$5&gt;3,L75,0)</f>
        <v>0</v>
      </c>
      <c r="N75" s="317">
        <f t="shared" ref="N75" si="56">IF($J$5&gt;4,M75,0)</f>
        <v>0</v>
      </c>
      <c r="O75" s="21"/>
      <c r="P75" s="135"/>
      <c r="Q75" s="135"/>
      <c r="V75" s="1"/>
    </row>
    <row r="76" spans="1:22" outlineLevel="1" x14ac:dyDescent="0.25">
      <c r="A76" s="96" t="s">
        <v>0</v>
      </c>
      <c r="B76" s="53">
        <f>ROUND(SUM(B8:B75),0)</f>
        <v>0</v>
      </c>
      <c r="C76" s="53">
        <f>ROUND(SUM(C8:C75),0)</f>
        <v>0</v>
      </c>
      <c r="D76" s="53">
        <f>ROUND(SUM(D8:D75),0)</f>
        <v>0</v>
      </c>
      <c r="E76" s="53">
        <f>ROUND(SUM(E8:E75),0)</f>
        <v>0</v>
      </c>
      <c r="F76" s="53">
        <f>ROUND(SUM(F8:F75),0)</f>
        <v>0</v>
      </c>
      <c r="G76" s="53">
        <f>SUM(B76:F76)</f>
        <v>0</v>
      </c>
      <c r="H76" s="24"/>
    </row>
    <row r="77" spans="1:22" outlineLevel="1" x14ac:dyDescent="0.25">
      <c r="B77" s="52"/>
      <c r="C77" s="52"/>
      <c r="D77" s="48"/>
      <c r="E77" s="48"/>
      <c r="F77" s="48"/>
      <c r="G77" s="46"/>
    </row>
    <row r="78" spans="1:22" outlineLevel="1" x14ac:dyDescent="0.25">
      <c r="A78" s="98" t="s">
        <v>4</v>
      </c>
      <c r="B78" s="52"/>
      <c r="C78" s="52"/>
      <c r="D78" s="48"/>
      <c r="E78" s="48"/>
      <c r="F78" s="48"/>
      <c r="G78" s="46"/>
    </row>
    <row r="79" spans="1:22" outlineLevel="1" x14ac:dyDescent="0.25">
      <c r="A79" s="87" t="str">
        <f>I79&amp;ROUND(J79*100,2)&amp;"%"</f>
        <v>Employees @ 0%</v>
      </c>
      <c r="B79" s="319">
        <f>SUM(B8:B40)*$J$79</f>
        <v>0</v>
      </c>
      <c r="C79" s="319">
        <f>SUM(C8:C40)*$J$79</f>
        <v>0</v>
      </c>
      <c r="D79" s="319">
        <f>SUM(D8:D40)*$J$79</f>
        <v>0</v>
      </c>
      <c r="E79" s="319">
        <f>SUM(E8:E40)*$J$79</f>
        <v>0</v>
      </c>
      <c r="F79" s="319">
        <f>SUM(F8:F40)*$J$79</f>
        <v>0</v>
      </c>
      <c r="G79" s="54">
        <f>SUM(B79:F79)</f>
        <v>0</v>
      </c>
      <c r="H79" s="3"/>
      <c r="I79" s="278" t="s">
        <v>152</v>
      </c>
      <c r="J79" s="279">
        <v>0</v>
      </c>
      <c r="K79" s="142"/>
      <c r="L79" s="142"/>
      <c r="M79" s="142"/>
      <c r="N79" s="142"/>
    </row>
    <row r="80" spans="1:22" outlineLevel="1" x14ac:dyDescent="0.25">
      <c r="A80" s="87" t="str">
        <f t="shared" ref="A80:A82" si="57">I80&amp;ROUND(J80*100,2)&amp;"%"</f>
        <v>Post-docs @ 0%</v>
      </c>
      <c r="B80" s="319">
        <f>SUM(B45:B51)*$J$80</f>
        <v>0</v>
      </c>
      <c r="C80" s="319">
        <f>SUM(C45:C51)*$J$80</f>
        <v>0</v>
      </c>
      <c r="D80" s="319">
        <f>SUM(D45:D51)*$J$80</f>
        <v>0</v>
      </c>
      <c r="E80" s="319">
        <f>SUM(E45:E51)*$J$80</f>
        <v>0</v>
      </c>
      <c r="F80" s="319">
        <f>SUM(F45:F51)*$J$80</f>
        <v>0</v>
      </c>
      <c r="G80" s="54">
        <f t="shared" ref="G80:G82" si="58">SUM(B80:F80)</f>
        <v>0</v>
      </c>
      <c r="H80" s="3"/>
      <c r="I80" s="278" t="s">
        <v>153</v>
      </c>
      <c r="J80" s="279">
        <v>0</v>
      </c>
      <c r="K80" s="142"/>
      <c r="L80" s="142"/>
      <c r="M80" s="142"/>
      <c r="N80" s="142"/>
    </row>
    <row r="81" spans="1:14" outlineLevel="1" x14ac:dyDescent="0.25">
      <c r="A81" s="87" t="str">
        <f t="shared" si="57"/>
        <v>Graduate Assistants @ 0%</v>
      </c>
      <c r="B81" s="319">
        <f>SUM(B54:B66)*$J$81</f>
        <v>0</v>
      </c>
      <c r="C81" s="319">
        <f>SUM(C54:C66)*$J$81</f>
        <v>0</v>
      </c>
      <c r="D81" s="319">
        <f>SUM(D54:D66)*$J$81</f>
        <v>0</v>
      </c>
      <c r="E81" s="319">
        <f>SUM(E54:E66)*$J$81</f>
        <v>0</v>
      </c>
      <c r="F81" s="319">
        <f>SUM(F54:F66)*$J$81</f>
        <v>0</v>
      </c>
      <c r="G81" s="54">
        <f t="shared" si="58"/>
        <v>0</v>
      </c>
      <c r="H81" s="3"/>
      <c r="I81" s="278" t="s">
        <v>148</v>
      </c>
      <c r="J81" s="279">
        <v>0</v>
      </c>
      <c r="K81" s="142"/>
      <c r="L81" s="142"/>
      <c r="M81" s="142"/>
      <c r="N81" s="142"/>
    </row>
    <row r="82" spans="1:14" outlineLevel="1" x14ac:dyDescent="0.25">
      <c r="A82" s="87" t="str">
        <f t="shared" si="57"/>
        <v>Student Workers @0%</v>
      </c>
      <c r="B82" s="319">
        <f>SUM(B69:B75)*$J$82</f>
        <v>0</v>
      </c>
      <c r="C82" s="319">
        <f t="shared" ref="C82:F82" si="59">SUM(C69:C75)*$J$82</f>
        <v>0</v>
      </c>
      <c r="D82" s="319">
        <f t="shared" si="59"/>
        <v>0</v>
      </c>
      <c r="E82" s="319">
        <f t="shared" si="59"/>
        <v>0</v>
      </c>
      <c r="F82" s="319">
        <f t="shared" si="59"/>
        <v>0</v>
      </c>
      <c r="G82" s="54">
        <f t="shared" si="58"/>
        <v>0</v>
      </c>
      <c r="H82" s="3"/>
      <c r="I82" s="278" t="s">
        <v>145</v>
      </c>
      <c r="J82" s="279">
        <v>0</v>
      </c>
      <c r="K82" s="142"/>
      <c r="L82" s="142"/>
      <c r="M82" s="142"/>
      <c r="N82" s="142"/>
    </row>
    <row r="83" spans="1:14" outlineLevel="1" x14ac:dyDescent="0.25">
      <c r="A83" s="96" t="s">
        <v>1</v>
      </c>
      <c r="B83" s="55">
        <f>ROUND(SUM(B79:B82),0)</f>
        <v>0</v>
      </c>
      <c r="C83" s="55">
        <f t="shared" ref="C83:F83" si="60">ROUND(SUM(C79:C82),0)</f>
        <v>0</v>
      </c>
      <c r="D83" s="55">
        <f t="shared" si="60"/>
        <v>0</v>
      </c>
      <c r="E83" s="55">
        <f t="shared" si="60"/>
        <v>0</v>
      </c>
      <c r="F83" s="55">
        <f t="shared" si="60"/>
        <v>0</v>
      </c>
      <c r="G83" s="56">
        <f t="shared" ref="G83" si="61">SUM(B83:F83)</f>
        <v>0</v>
      </c>
      <c r="H83" s="3"/>
    </row>
    <row r="84" spans="1:14" outlineLevel="1" x14ac:dyDescent="0.25">
      <c r="B84" s="48"/>
      <c r="C84" s="48"/>
      <c r="D84" s="48"/>
      <c r="E84" s="48"/>
      <c r="F84" s="48"/>
      <c r="G84" s="46"/>
    </row>
    <row r="85" spans="1:14" x14ac:dyDescent="0.25">
      <c r="A85" s="97" t="s">
        <v>95</v>
      </c>
      <c r="B85" s="57">
        <f>B76+B83</f>
        <v>0</v>
      </c>
      <c r="C85" s="57">
        <f>C76+C83</f>
        <v>0</v>
      </c>
      <c r="D85" s="57">
        <f>D76+D83</f>
        <v>0</v>
      </c>
      <c r="E85" s="57">
        <f>E76+E83</f>
        <v>0</v>
      </c>
      <c r="F85" s="57">
        <f>F76+F83</f>
        <v>0</v>
      </c>
      <c r="G85" s="58">
        <f>SUM(B85:F85)</f>
        <v>0</v>
      </c>
      <c r="H85" s="3"/>
    </row>
    <row r="86" spans="1:14" x14ac:dyDescent="0.25">
      <c r="A86" s="2"/>
      <c r="B86" s="59"/>
      <c r="C86" s="59"/>
      <c r="D86" s="59"/>
      <c r="E86" s="59"/>
      <c r="F86" s="59"/>
      <c r="G86" s="60"/>
      <c r="H86" s="25"/>
    </row>
    <row r="87" spans="1:14" x14ac:dyDescent="0.25">
      <c r="A87" s="95" t="s">
        <v>39</v>
      </c>
      <c r="B87" s="48"/>
      <c r="C87" s="48"/>
      <c r="D87" s="48"/>
      <c r="E87" s="48"/>
      <c r="F87" s="48"/>
      <c r="G87" s="46"/>
    </row>
    <row r="88" spans="1:14" outlineLevel="1" x14ac:dyDescent="0.25">
      <c r="A88" s="280" t="s">
        <v>41</v>
      </c>
      <c r="B88" s="281">
        <v>0</v>
      </c>
      <c r="C88" s="281">
        <v>0</v>
      </c>
      <c r="D88" s="281">
        <v>0</v>
      </c>
      <c r="E88" s="281">
        <v>0</v>
      </c>
      <c r="F88" s="281">
        <v>0</v>
      </c>
      <c r="G88" s="46">
        <f>SUM(B88:F88)</f>
        <v>0</v>
      </c>
      <c r="H88" s="14"/>
    </row>
    <row r="89" spans="1:14" outlineLevel="1" x14ac:dyDescent="0.25">
      <c r="A89" s="280" t="s">
        <v>42</v>
      </c>
      <c r="B89" s="281">
        <v>0</v>
      </c>
      <c r="C89" s="281">
        <v>0</v>
      </c>
      <c r="D89" s="281">
        <v>0</v>
      </c>
      <c r="E89" s="281">
        <v>0</v>
      </c>
      <c r="F89" s="281">
        <v>0</v>
      </c>
      <c r="G89" s="46">
        <f>SUM(B89:F89)</f>
        <v>0</v>
      </c>
      <c r="H89" s="14"/>
    </row>
    <row r="90" spans="1:14" outlineLevel="1" x14ac:dyDescent="0.25">
      <c r="A90" s="280" t="s">
        <v>43</v>
      </c>
      <c r="B90" s="281">
        <v>0</v>
      </c>
      <c r="C90" s="281">
        <v>0</v>
      </c>
      <c r="D90" s="281">
        <v>0</v>
      </c>
      <c r="E90" s="281">
        <v>0</v>
      </c>
      <c r="F90" s="281">
        <v>0</v>
      </c>
      <c r="G90" s="46">
        <f>SUM(B90:F90)</f>
        <v>0</v>
      </c>
      <c r="H90" s="14"/>
    </row>
    <row r="91" spans="1:14" x14ac:dyDescent="0.25">
      <c r="A91" s="96" t="s">
        <v>40</v>
      </c>
      <c r="B91" s="53">
        <f>ROUND(SUM(B88:B90),0)</f>
        <v>0</v>
      </c>
      <c r="C91" s="53">
        <f t="shared" ref="C91:F91" si="62">ROUND(SUM(C88:C90),0)</f>
        <v>0</v>
      </c>
      <c r="D91" s="53">
        <f t="shared" si="62"/>
        <v>0</v>
      </c>
      <c r="E91" s="53">
        <f t="shared" si="62"/>
        <v>0</v>
      </c>
      <c r="F91" s="53">
        <f t="shared" si="62"/>
        <v>0</v>
      </c>
      <c r="G91" s="53">
        <f>SUM(B91:F91)</f>
        <v>0</v>
      </c>
      <c r="H91" s="24"/>
    </row>
    <row r="92" spans="1:14" x14ac:dyDescent="0.25">
      <c r="B92" s="52"/>
      <c r="C92" s="52"/>
      <c r="D92" s="48"/>
      <c r="E92" s="48"/>
      <c r="F92" s="48"/>
      <c r="G92" s="46"/>
    </row>
    <row r="93" spans="1:14" x14ac:dyDescent="0.25">
      <c r="A93" s="98" t="s">
        <v>11</v>
      </c>
      <c r="B93" s="60"/>
      <c r="C93" s="60"/>
      <c r="D93" s="60"/>
      <c r="E93" s="60"/>
      <c r="F93" s="60"/>
      <c r="G93" s="60"/>
      <c r="H93" s="25"/>
    </row>
    <row r="94" spans="1:14" outlineLevel="1" x14ac:dyDescent="0.25">
      <c r="A94" s="13" t="s">
        <v>98</v>
      </c>
      <c r="B94" s="320">
        <v>0</v>
      </c>
      <c r="C94" s="320">
        <v>0</v>
      </c>
      <c r="D94" s="320">
        <v>0</v>
      </c>
      <c r="E94" s="320">
        <v>0</v>
      </c>
      <c r="F94" s="320">
        <v>0</v>
      </c>
      <c r="G94" s="60">
        <f>SUM(B94:F94)</f>
        <v>0</v>
      </c>
      <c r="H94" s="25"/>
    </row>
    <row r="95" spans="1:14" outlineLevel="1" x14ac:dyDescent="0.25">
      <c r="A95" s="13" t="s">
        <v>99</v>
      </c>
      <c r="B95" s="320">
        <v>0</v>
      </c>
      <c r="C95" s="320">
        <v>0</v>
      </c>
      <c r="D95" s="320">
        <v>0</v>
      </c>
      <c r="E95" s="320">
        <v>0</v>
      </c>
      <c r="F95" s="320">
        <v>0</v>
      </c>
      <c r="G95" s="60">
        <f>SUM(B95:F95)</f>
        <v>0</v>
      </c>
      <c r="H95" s="25"/>
    </row>
    <row r="96" spans="1:14" x14ac:dyDescent="0.25">
      <c r="A96" s="96" t="s">
        <v>12</v>
      </c>
      <c r="B96" s="62">
        <f>ROUND(SUM(B94:B95),0)</f>
        <v>0</v>
      </c>
      <c r="C96" s="62">
        <f t="shared" ref="C96:F96" si="63">ROUND(SUM(C94:C95),0)</f>
        <v>0</v>
      </c>
      <c r="D96" s="62">
        <f t="shared" si="63"/>
        <v>0</v>
      </c>
      <c r="E96" s="62">
        <f t="shared" si="63"/>
        <v>0</v>
      </c>
      <c r="F96" s="62">
        <f t="shared" si="63"/>
        <v>0</v>
      </c>
      <c r="G96" s="53">
        <f>SUM(B96:F96)</f>
        <v>0</v>
      </c>
      <c r="H96" s="24"/>
    </row>
    <row r="97" spans="1:22" x14ac:dyDescent="0.25">
      <c r="B97" s="48"/>
      <c r="C97" s="48"/>
      <c r="D97" s="48"/>
      <c r="E97" s="48"/>
      <c r="F97" s="48"/>
      <c r="G97" s="46"/>
    </row>
    <row r="98" spans="1:22" x14ac:dyDescent="0.25">
      <c r="A98" s="2" t="s">
        <v>44</v>
      </c>
      <c r="B98" s="48"/>
      <c r="C98" s="48"/>
      <c r="D98" s="48"/>
      <c r="E98" s="48"/>
      <c r="F98" s="48"/>
      <c r="G98" s="46"/>
    </row>
    <row r="99" spans="1:22" x14ac:dyDescent="0.25">
      <c r="A99" s="35" t="s">
        <v>44</v>
      </c>
      <c r="B99" s="321">
        <v>0</v>
      </c>
      <c r="C99" s="321">
        <v>0</v>
      </c>
      <c r="D99" s="321">
        <v>0</v>
      </c>
      <c r="E99" s="321">
        <v>0</v>
      </c>
      <c r="F99" s="321">
        <v>0</v>
      </c>
      <c r="G99" s="54">
        <f>SUM(B99:F99)</f>
        <v>0</v>
      </c>
    </row>
    <row r="100" spans="1:22" x14ac:dyDescent="0.25">
      <c r="A100" s="96" t="s">
        <v>161</v>
      </c>
      <c r="B100" s="62">
        <f>ROUND(SUM(B99),0)</f>
        <v>0</v>
      </c>
      <c r="C100" s="62">
        <f t="shared" ref="C100:F100" si="64">ROUND(SUM(C99),0)</f>
        <v>0</v>
      </c>
      <c r="D100" s="62">
        <f t="shared" si="64"/>
        <v>0</v>
      </c>
      <c r="E100" s="62">
        <f t="shared" si="64"/>
        <v>0</v>
      </c>
      <c r="F100" s="62">
        <f t="shared" si="64"/>
        <v>0</v>
      </c>
      <c r="G100" s="53">
        <f>SUM(B100:F100)</f>
        <v>0</v>
      </c>
      <c r="H100" s="24"/>
      <c r="P100" s="135"/>
      <c r="Q100" s="135"/>
      <c r="V100" s="1"/>
    </row>
    <row r="101" spans="1:22" x14ac:dyDescent="0.25">
      <c r="B101" s="48"/>
      <c r="C101" s="48"/>
      <c r="D101" s="48"/>
      <c r="E101" s="48"/>
      <c r="F101" s="48"/>
      <c r="G101" s="46"/>
    </row>
    <row r="102" spans="1:22" x14ac:dyDescent="0.25">
      <c r="A102" s="100" t="s">
        <v>33</v>
      </c>
      <c r="B102" s="59"/>
      <c r="C102" s="59"/>
      <c r="D102" s="48"/>
      <c r="E102" s="48"/>
      <c r="F102" s="48"/>
      <c r="G102" s="46"/>
    </row>
    <row r="103" spans="1:22" outlineLevel="1" x14ac:dyDescent="0.25">
      <c r="A103" s="35" t="s">
        <v>31</v>
      </c>
      <c r="B103" s="321">
        <f>SUM(J52,J57,J62)</f>
        <v>0</v>
      </c>
      <c r="C103" s="321">
        <f t="shared" ref="C103:F103" si="65">SUM(K52,K57,K62)</f>
        <v>0</v>
      </c>
      <c r="D103" s="321">
        <f t="shared" si="65"/>
        <v>0</v>
      </c>
      <c r="E103" s="321">
        <f t="shared" si="65"/>
        <v>0</v>
      </c>
      <c r="F103" s="321">
        <f t="shared" si="65"/>
        <v>0</v>
      </c>
      <c r="G103" s="54">
        <f>SUM(B103:F103)</f>
        <v>0</v>
      </c>
    </row>
    <row r="104" spans="1:22" outlineLevel="1" x14ac:dyDescent="0.25">
      <c r="A104" s="35" t="s">
        <v>97</v>
      </c>
      <c r="B104" s="322">
        <v>0</v>
      </c>
      <c r="C104" s="322">
        <v>0</v>
      </c>
      <c r="D104" s="322">
        <v>0</v>
      </c>
      <c r="E104" s="322">
        <v>0</v>
      </c>
      <c r="F104" s="322">
        <v>0</v>
      </c>
      <c r="G104" s="54">
        <f>SUM(B104:F104)</f>
        <v>0</v>
      </c>
      <c r="H104" s="3"/>
    </row>
    <row r="105" spans="1:22" outlineLevel="1" x14ac:dyDescent="0.25">
      <c r="A105" s="35"/>
      <c r="B105" s="64"/>
      <c r="C105" s="64"/>
      <c r="D105" s="64"/>
      <c r="E105" s="64"/>
      <c r="F105" s="64"/>
      <c r="G105" s="54"/>
    </row>
    <row r="106" spans="1:22" outlineLevel="1" x14ac:dyDescent="0.25">
      <c r="A106" s="323" t="s">
        <v>88</v>
      </c>
      <c r="B106" s="281">
        <v>0</v>
      </c>
      <c r="C106" s="281">
        <v>0</v>
      </c>
      <c r="D106" s="281">
        <v>0</v>
      </c>
      <c r="E106" s="281">
        <v>0</v>
      </c>
      <c r="F106" s="281">
        <v>0</v>
      </c>
      <c r="G106" s="46">
        <f>SUM(B106:F106)</f>
        <v>0</v>
      </c>
      <c r="H106" s="14"/>
    </row>
    <row r="107" spans="1:22" outlineLevel="1" x14ac:dyDescent="0.25">
      <c r="A107" s="323" t="s">
        <v>89</v>
      </c>
      <c r="B107" s="281">
        <v>0</v>
      </c>
      <c r="C107" s="281">
        <v>0</v>
      </c>
      <c r="D107" s="281">
        <v>0</v>
      </c>
      <c r="E107" s="281">
        <v>0</v>
      </c>
      <c r="F107" s="281">
        <v>0</v>
      </c>
      <c r="G107" s="46">
        <f t="shared" ref="G107:G111" si="66">SUM(B107:F107)</f>
        <v>0</v>
      </c>
      <c r="H107" s="14"/>
    </row>
    <row r="108" spans="1:22" outlineLevel="1" x14ac:dyDescent="0.25">
      <c r="A108" s="323" t="s">
        <v>90</v>
      </c>
      <c r="B108" s="281">
        <v>0</v>
      </c>
      <c r="C108" s="281">
        <v>0</v>
      </c>
      <c r="D108" s="281">
        <v>0</v>
      </c>
      <c r="E108" s="281">
        <v>0</v>
      </c>
      <c r="F108" s="281">
        <v>0</v>
      </c>
      <c r="G108" s="46">
        <f t="shared" si="66"/>
        <v>0</v>
      </c>
      <c r="H108" s="14"/>
    </row>
    <row r="109" spans="1:22" outlineLevel="1" x14ac:dyDescent="0.25">
      <c r="A109" s="323" t="s">
        <v>91</v>
      </c>
      <c r="B109" s="281">
        <v>0</v>
      </c>
      <c r="C109" s="281">
        <v>0</v>
      </c>
      <c r="D109" s="281">
        <v>0</v>
      </c>
      <c r="E109" s="281">
        <v>0</v>
      </c>
      <c r="F109" s="281">
        <v>0</v>
      </c>
      <c r="G109" s="46">
        <f t="shared" si="66"/>
        <v>0</v>
      </c>
      <c r="H109" s="14"/>
    </row>
    <row r="110" spans="1:22" outlineLevel="1" x14ac:dyDescent="0.25">
      <c r="A110" s="323" t="s">
        <v>102</v>
      </c>
      <c r="B110" s="281">
        <v>0</v>
      </c>
      <c r="C110" s="281">
        <v>0</v>
      </c>
      <c r="D110" s="281">
        <v>0</v>
      </c>
      <c r="E110" s="281">
        <v>0</v>
      </c>
      <c r="F110" s="281">
        <v>0</v>
      </c>
      <c r="G110" s="46">
        <f t="shared" si="66"/>
        <v>0</v>
      </c>
      <c r="H110" s="14"/>
    </row>
    <row r="111" spans="1:22" outlineLevel="1" x14ac:dyDescent="0.25">
      <c r="A111" s="324" t="s">
        <v>103</v>
      </c>
      <c r="B111" s="281">
        <v>0</v>
      </c>
      <c r="C111" s="281">
        <v>0</v>
      </c>
      <c r="D111" s="281">
        <v>0</v>
      </c>
      <c r="E111" s="281">
        <v>0</v>
      </c>
      <c r="F111" s="281">
        <v>0</v>
      </c>
      <c r="G111" s="46">
        <f t="shared" si="66"/>
        <v>0</v>
      </c>
      <c r="H111" s="14"/>
    </row>
    <row r="112" spans="1:22" outlineLevel="1" x14ac:dyDescent="0.25">
      <c r="A112" s="101" t="s">
        <v>87</v>
      </c>
      <c r="B112" s="50">
        <f>SUM(B106:B111)</f>
        <v>0</v>
      </c>
      <c r="C112" s="50">
        <f t="shared" ref="C112:F112" si="67">SUM(C106:C111)</f>
        <v>0</v>
      </c>
      <c r="D112" s="50">
        <f t="shared" si="67"/>
        <v>0</v>
      </c>
      <c r="E112" s="50">
        <f t="shared" si="67"/>
        <v>0</v>
      </c>
      <c r="F112" s="50">
        <f t="shared" si="67"/>
        <v>0</v>
      </c>
      <c r="G112" s="51">
        <f>SUM(B112:F112)</f>
        <v>0</v>
      </c>
      <c r="H112" s="24"/>
    </row>
    <row r="113" spans="1:17" outlineLevel="1" x14ac:dyDescent="0.25">
      <c r="A113" s="36"/>
      <c r="B113" s="65"/>
      <c r="C113" s="65"/>
      <c r="D113" s="65"/>
      <c r="E113" s="65"/>
      <c r="F113" s="65"/>
      <c r="G113" s="65"/>
      <c r="H113" s="24"/>
    </row>
    <row r="114" spans="1:17" x14ac:dyDescent="0.25">
      <c r="A114" s="102" t="s">
        <v>38</v>
      </c>
      <c r="B114" s="62">
        <f>ROUND(SUM(B103:B104,B112),0)</f>
        <v>0</v>
      </c>
      <c r="C114" s="62">
        <f t="shared" ref="C114:F114" si="68">ROUND(SUM(C103:C104,C112),0)</f>
        <v>0</v>
      </c>
      <c r="D114" s="62">
        <f t="shared" si="68"/>
        <v>0</v>
      </c>
      <c r="E114" s="62">
        <f t="shared" si="68"/>
        <v>0</v>
      </c>
      <c r="F114" s="62">
        <f t="shared" si="68"/>
        <v>0</v>
      </c>
      <c r="G114" s="53">
        <f>SUM(B114:F114)</f>
        <v>0</v>
      </c>
      <c r="H114" s="24"/>
    </row>
    <row r="115" spans="1:17" x14ac:dyDescent="0.25">
      <c r="A115" s="37"/>
      <c r="B115" s="66"/>
      <c r="C115" s="66"/>
      <c r="D115" s="67"/>
      <c r="E115" s="67"/>
      <c r="F115" s="67"/>
      <c r="G115" s="54"/>
    </row>
    <row r="116" spans="1:17" x14ac:dyDescent="0.25">
      <c r="A116" s="103" t="s">
        <v>92</v>
      </c>
      <c r="B116" s="92">
        <f>B118-B107-B109-B111</f>
        <v>0</v>
      </c>
      <c r="C116" s="92">
        <f t="shared" ref="C116:F116" si="69">C118-C107-C109-C111</f>
        <v>0</v>
      </c>
      <c r="D116" s="92">
        <f t="shared" si="69"/>
        <v>0</v>
      </c>
      <c r="E116" s="92">
        <f t="shared" si="69"/>
        <v>0</v>
      </c>
      <c r="F116" s="92">
        <f t="shared" si="69"/>
        <v>0</v>
      </c>
      <c r="G116" s="93">
        <f>SUM(B116:F116)</f>
        <v>0</v>
      </c>
    </row>
    <row r="117" spans="1:17" x14ac:dyDescent="0.25">
      <c r="A117" s="37"/>
      <c r="B117" s="66"/>
      <c r="C117" s="66"/>
      <c r="D117" s="67"/>
      <c r="E117" s="67"/>
      <c r="F117" s="67"/>
      <c r="G117" s="54"/>
    </row>
    <row r="118" spans="1:17" x14ac:dyDescent="0.25">
      <c r="A118" s="100" t="s">
        <v>2</v>
      </c>
      <c r="B118" s="68">
        <f>SUM(B85,B91,B96,B100,B114)</f>
        <v>0</v>
      </c>
      <c r="C118" s="68">
        <f t="shared" ref="C118:F118" si="70">SUM(C85,C91,C96,C100,C114)</f>
        <v>0</v>
      </c>
      <c r="D118" s="68">
        <f t="shared" si="70"/>
        <v>0</v>
      </c>
      <c r="E118" s="68">
        <f t="shared" si="70"/>
        <v>0</v>
      </c>
      <c r="F118" s="68">
        <f t="shared" si="70"/>
        <v>0</v>
      </c>
      <c r="G118" s="54">
        <f t="shared" ref="G118:G123" si="71">SUM(B118:F118)</f>
        <v>0</v>
      </c>
      <c r="H118" s="3"/>
    </row>
    <row r="119" spans="1:17" x14ac:dyDescent="0.25">
      <c r="A119" s="35" t="s">
        <v>45</v>
      </c>
      <c r="B119" s="81">
        <f>-B91</f>
        <v>0</v>
      </c>
      <c r="C119" s="81">
        <f>-C91</f>
        <v>0</v>
      </c>
      <c r="D119" s="81">
        <f>-D91</f>
        <v>0</v>
      </c>
      <c r="E119" s="81">
        <f>-E91</f>
        <v>0</v>
      </c>
      <c r="F119" s="81">
        <f>-F91</f>
        <v>0</v>
      </c>
      <c r="G119" s="54">
        <f t="shared" si="71"/>
        <v>0</v>
      </c>
      <c r="H119" s="3"/>
    </row>
    <row r="120" spans="1:17" x14ac:dyDescent="0.25">
      <c r="A120" s="87" t="s">
        <v>32</v>
      </c>
      <c r="B120" s="81">
        <f>-B103</f>
        <v>0</v>
      </c>
      <c r="C120" s="81">
        <f>-C103</f>
        <v>0</v>
      </c>
      <c r="D120" s="81">
        <f>-D103</f>
        <v>0</v>
      </c>
      <c r="E120" s="68">
        <f>-E103</f>
        <v>0</v>
      </c>
      <c r="F120" s="68">
        <f>-F103</f>
        <v>0</v>
      </c>
      <c r="G120" s="54">
        <f t="shared" si="71"/>
        <v>0</v>
      </c>
      <c r="H120" s="3"/>
    </row>
    <row r="121" spans="1:17" x14ac:dyDescent="0.25">
      <c r="A121" s="87" t="s">
        <v>47</v>
      </c>
      <c r="B121" s="91">
        <f>-B100</f>
        <v>0</v>
      </c>
      <c r="C121" s="91">
        <f t="shared" ref="C121:F121" si="72">-C100</f>
        <v>0</v>
      </c>
      <c r="D121" s="91">
        <f t="shared" si="72"/>
        <v>0</v>
      </c>
      <c r="E121" s="91">
        <f t="shared" si="72"/>
        <v>0</v>
      </c>
      <c r="F121" s="91">
        <f t="shared" si="72"/>
        <v>0</v>
      </c>
      <c r="G121" s="54">
        <f t="shared" si="71"/>
        <v>0</v>
      </c>
      <c r="H121" s="3"/>
    </row>
    <row r="122" spans="1:17" x14ac:dyDescent="0.25">
      <c r="A122" s="87" t="s">
        <v>46</v>
      </c>
      <c r="B122" s="325">
        <v>0</v>
      </c>
      <c r="C122" s="325">
        <v>0</v>
      </c>
      <c r="D122" s="325">
        <v>0</v>
      </c>
      <c r="E122" s="325">
        <v>0</v>
      </c>
      <c r="F122" s="325">
        <v>0</v>
      </c>
      <c r="G122" s="46">
        <f t="shared" si="71"/>
        <v>0</v>
      </c>
      <c r="H122" s="3"/>
    </row>
    <row r="123" spans="1:17" x14ac:dyDescent="0.25">
      <c r="A123" s="96" t="s">
        <v>13</v>
      </c>
      <c r="B123" s="53">
        <f>ROUND(SUM(B118:B122),0)</f>
        <v>0</v>
      </c>
      <c r="C123" s="53">
        <f t="shared" ref="C123:F123" si="73">ROUND(SUM(C118:C122),0)</f>
        <v>0</v>
      </c>
      <c r="D123" s="53">
        <f t="shared" si="73"/>
        <v>0</v>
      </c>
      <c r="E123" s="53">
        <f t="shared" si="73"/>
        <v>0</v>
      </c>
      <c r="F123" s="53">
        <f t="shared" si="73"/>
        <v>0</v>
      </c>
      <c r="G123" s="51">
        <f t="shared" si="71"/>
        <v>0</v>
      </c>
      <c r="H123" s="3"/>
    </row>
    <row r="124" spans="1:17" ht="15" customHeight="1" x14ac:dyDescent="0.25">
      <c r="A124" s="26"/>
      <c r="B124" s="69"/>
      <c r="C124" s="69"/>
      <c r="D124" s="48"/>
      <c r="E124" s="48"/>
      <c r="F124" s="48"/>
      <c r="G124" s="46"/>
    </row>
    <row r="125" spans="1:17" x14ac:dyDescent="0.25">
      <c r="A125" s="98" t="s">
        <v>30</v>
      </c>
      <c r="B125" s="69"/>
      <c r="C125" s="69"/>
      <c r="D125" s="48"/>
      <c r="E125" s="48"/>
      <c r="F125" s="48"/>
      <c r="G125" s="46"/>
      <c r="I125" s="127" t="s">
        <v>123</v>
      </c>
      <c r="J125" s="132" t="s">
        <v>125</v>
      </c>
      <c r="P125" s="127" t="s">
        <v>134</v>
      </c>
      <c r="Q125" s="127" t="s">
        <v>133</v>
      </c>
    </row>
    <row r="126" spans="1:17" x14ac:dyDescent="0.25">
      <c r="A126" s="87" t="str">
        <f>IF(J126="TC","F&amp;A Costs @ "&amp;ROUND(I126/(1-I126),4)*100&amp;"% TDC or " &amp;I126*100&amp;"% TC", "F&amp;A Costs @ "&amp;I126*100&amp;"% "&amp;J126)</f>
        <v>F&amp;A Costs @ 0% MTDC</v>
      </c>
      <c r="B126" s="48">
        <f>IF($J$126="MTDC",(B123*$I$126),IF($J$126="TDC",(B118*$I$126),IF($J$126="TC",(B118*($I$126/(1-$I$126))))))</f>
        <v>0</v>
      </c>
      <c r="C126" s="48">
        <f t="shared" ref="C126:E126" si="74">IF($J$126="MTDC",(C123*$I$126),IF($J$126="TDC",(C118*$I$126),IF($J$126="TC",(C118*($I$126/(1-$I$126))))))</f>
        <v>0</v>
      </c>
      <c r="D126" s="48">
        <f t="shared" si="74"/>
        <v>0</v>
      </c>
      <c r="E126" s="48">
        <f t="shared" si="74"/>
        <v>0</v>
      </c>
      <c r="F126" s="48">
        <f>IF($J$126="MTDC",(F123*$I$126),IF($J$126="TDC",(F118*$I$126),IF($J$126="TC",(F118*($I$126/(1-$I$126))))))</f>
        <v>0</v>
      </c>
      <c r="G126" s="46">
        <f>SUM(B126:F126)</f>
        <v>0</v>
      </c>
      <c r="H126" s="3"/>
      <c r="I126" s="279">
        <v>0</v>
      </c>
      <c r="J126" s="278" t="s">
        <v>124</v>
      </c>
      <c r="P126" s="139"/>
      <c r="Q126" s="135" t="s">
        <v>124</v>
      </c>
    </row>
    <row r="127" spans="1:17" x14ac:dyDescent="0.25">
      <c r="A127" s="96" t="s">
        <v>53</v>
      </c>
      <c r="B127" s="53">
        <f>ROUND(SUM(B126:B126),0)</f>
        <v>0</v>
      </c>
      <c r="C127" s="53">
        <f t="shared" ref="C127:F127" si="75">ROUND(SUM(C126:C126),0)</f>
        <v>0</v>
      </c>
      <c r="D127" s="53">
        <f t="shared" si="75"/>
        <v>0</v>
      </c>
      <c r="E127" s="53">
        <f t="shared" si="75"/>
        <v>0</v>
      </c>
      <c r="F127" s="53">
        <f t="shared" si="75"/>
        <v>0</v>
      </c>
      <c r="G127" s="51">
        <f>SUM(B127:F127)</f>
        <v>0</v>
      </c>
      <c r="H127" s="3"/>
      <c r="I127" s="341" t="s">
        <v>220</v>
      </c>
      <c r="P127" s="135"/>
      <c r="Q127" s="135" t="s">
        <v>135</v>
      </c>
    </row>
    <row r="128" spans="1:17" x14ac:dyDescent="0.25">
      <c r="A128" s="13"/>
      <c r="B128" s="48"/>
      <c r="C128" s="48"/>
      <c r="D128" s="48"/>
      <c r="E128" s="48"/>
      <c r="F128" s="48"/>
      <c r="G128" s="46"/>
      <c r="I128" s="342" t="s">
        <v>221</v>
      </c>
      <c r="P128" s="135"/>
      <c r="Q128" s="135" t="s">
        <v>136</v>
      </c>
    </row>
    <row r="129" spans="1:8" x14ac:dyDescent="0.25">
      <c r="A129" s="97" t="s">
        <v>96</v>
      </c>
      <c r="B129" s="58">
        <f>B118+B127</f>
        <v>0</v>
      </c>
      <c r="C129" s="58">
        <f>C118+C127</f>
        <v>0</v>
      </c>
      <c r="D129" s="58">
        <f>D118+D127</f>
        <v>0</v>
      </c>
      <c r="E129" s="58">
        <f>E118+E127</f>
        <v>0</v>
      </c>
      <c r="F129" s="58">
        <f>F118+F127</f>
        <v>0</v>
      </c>
      <c r="G129" s="58">
        <f>SUM(B129:F129)</f>
        <v>0</v>
      </c>
      <c r="H129" s="3"/>
    </row>
    <row r="130" spans="1:8" ht="16.5" thickBot="1" x14ac:dyDescent="0.3"/>
    <row r="131" spans="1:8" ht="45" customHeight="1" thickBot="1" x14ac:dyDescent="0.3">
      <c r="A131" s="378" t="s">
        <v>57</v>
      </c>
      <c r="B131" s="379"/>
      <c r="C131" s="379"/>
      <c r="D131" s="379"/>
      <c r="E131" s="379"/>
      <c r="F131" s="379"/>
      <c r="G131" s="380"/>
    </row>
    <row r="134" spans="1:8" x14ac:dyDescent="0.25">
      <c r="A134" s="27"/>
    </row>
  </sheetData>
  <sheetProtection formatCells="0" formatColumns="0" formatRows="0" insertRows="0" deleteColumns="0" deleteRows="0" selectLockedCells="1" sort="0"/>
  <mergeCells count="14">
    <mergeCell ref="I1:O1"/>
    <mergeCell ref="A2:G2"/>
    <mergeCell ref="A131:G131"/>
    <mergeCell ref="A4:G4"/>
    <mergeCell ref="A9:A10"/>
    <mergeCell ref="A15:A16"/>
    <mergeCell ref="A21:A22"/>
    <mergeCell ref="A27:A28"/>
    <mergeCell ref="A33:A34"/>
    <mergeCell ref="A39:A40"/>
    <mergeCell ref="A55:A56"/>
    <mergeCell ref="A60:A61"/>
    <mergeCell ref="A65:A66"/>
    <mergeCell ref="A1:G1"/>
  </mergeCells>
  <dataValidations count="2">
    <dataValidation type="list" allowBlank="1" showInputMessage="1" showErrorMessage="1" sqref="U11 U17 U23 U29 U35 U41 U58 U53 U63" xr:uid="{00000000-0002-0000-0700-000000000000}">
      <formula1>$R$3:$R$4</formula1>
    </dataValidation>
    <dataValidation type="list" allowBlank="1" showInputMessage="1" showErrorMessage="1" sqref="J126" xr:uid="{00000000-0002-0000-0700-000001000000}">
      <formula1>$Q$126:$Q$128</formula1>
    </dataValidation>
  </dataValidations>
  <hyperlinks>
    <hyperlink ref="I128" r:id="rId1" xr:uid="{79214171-ED7C-4368-81D4-87122CE6E618}"/>
  </hyperlinks>
  <printOptions horizontalCentered="1"/>
  <pageMargins left="0.5" right="0.5" top="0.5" bottom="0.5" header="0.25" footer="0.25"/>
  <pageSetup scale="34" orientation="portrait" r:id="rId2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H1" sqref="H1"/>
    </sheetView>
  </sheetViews>
  <sheetFormatPr defaultColWidth="8.7109375" defaultRowHeight="15.75" outlineLevelRow="1" x14ac:dyDescent="0.25"/>
  <cols>
    <col min="1" max="1" width="55.7109375" style="1" customWidth="1"/>
    <col min="2" max="6" width="13.7109375" style="1" customWidth="1"/>
    <col min="7" max="7" width="14.7109375" style="2" customWidth="1"/>
    <col min="8" max="8" width="2.7109375" style="2" customWidth="1"/>
    <col min="9" max="9" width="33" style="1" customWidth="1"/>
    <col min="10" max="14" width="11.7109375" style="1" customWidth="1"/>
    <col min="15" max="15" width="14.42578125" style="1" bestFit="1" customWidth="1"/>
    <col min="16" max="16" width="6.28515625" style="1" hidden="1" customWidth="1"/>
    <col min="17" max="17" width="8.7109375" style="1" hidden="1" customWidth="1"/>
    <col min="18" max="18" width="8.7109375" style="80" hidden="1" customWidth="1"/>
    <col min="19" max="19" width="3.42578125" style="80" customWidth="1"/>
    <col min="20" max="20" width="28.42578125" style="80" bestFit="1" customWidth="1"/>
    <col min="21" max="21" width="12.7109375" style="1" customWidth="1"/>
    <col min="22" max="22" width="12" style="1" bestFit="1" customWidth="1"/>
    <col min="23" max="16384" width="8.7109375" style="1"/>
  </cols>
  <sheetData>
    <row r="1" spans="1:23" s="2" customFormat="1" ht="54.95" customHeight="1" x14ac:dyDescent="0.3">
      <c r="A1" s="405" t="s">
        <v>229</v>
      </c>
      <c r="B1" s="405"/>
      <c r="C1" s="405"/>
      <c r="D1" s="405"/>
      <c r="E1" s="405"/>
      <c r="F1" s="405"/>
      <c r="G1" s="405"/>
      <c r="I1" s="407" t="s">
        <v>18</v>
      </c>
      <c r="J1" s="408"/>
      <c r="K1" s="408"/>
      <c r="L1" s="408"/>
      <c r="M1" s="408"/>
      <c r="N1" s="408"/>
      <c r="O1" s="409"/>
      <c r="U1" s="5"/>
      <c r="V1" s="5"/>
    </row>
    <row r="2" spans="1:23" s="2" customFormat="1" x14ac:dyDescent="0.25">
      <c r="A2" s="406" t="s">
        <v>105</v>
      </c>
      <c r="B2" s="406"/>
      <c r="C2" s="406"/>
      <c r="D2" s="406"/>
      <c r="E2" s="406"/>
      <c r="F2" s="406"/>
      <c r="G2" s="406"/>
      <c r="I2" s="33"/>
      <c r="J2" s="42" t="s">
        <v>28</v>
      </c>
      <c r="K2" s="42"/>
      <c r="L2" s="42"/>
      <c r="M2" s="42"/>
      <c r="N2" s="42"/>
      <c r="O2" s="43" t="s">
        <v>29</v>
      </c>
      <c r="P2" s="1">
        <f>IF(MONTH(J3)&gt;6, 12+7-MONTH(J3), 7-MONTH(J3))</f>
        <v>6</v>
      </c>
      <c r="R2" s="2" t="s">
        <v>129</v>
      </c>
      <c r="T2" s="127" t="s">
        <v>158</v>
      </c>
      <c r="U2" s="308">
        <f>Budget!U1</f>
        <v>0</v>
      </c>
    </row>
    <row r="3" spans="1:23" x14ac:dyDescent="0.25">
      <c r="A3" s="98" t="str">
        <f>"Period of Performance: "&amp;TEXT(J3, "mm/dd/yy")&amp;" - "&amp;TEXT(O3, "mm/dd/yy")&amp;" ["&amp;ROUND(J5,2)&amp; " Year(s)]"</f>
        <v>Period of Performance: 01/00/00 - 01/00/00 [0 Year(s)]</v>
      </c>
      <c r="B3" s="99"/>
      <c r="C3" s="99"/>
      <c r="D3" s="99"/>
      <c r="E3" s="99"/>
      <c r="F3" s="99"/>
      <c r="G3" s="98"/>
      <c r="I3" s="45" t="s">
        <v>52</v>
      </c>
      <c r="J3" s="262">
        <f>Budget!J4</f>
        <v>0</v>
      </c>
      <c r="K3" s="262"/>
      <c r="L3" s="262"/>
      <c r="M3" s="262"/>
      <c r="N3" s="262"/>
      <c r="O3" s="263">
        <f>Budget!O4</f>
        <v>0</v>
      </c>
      <c r="P3" s="1">
        <f>IF(DAY(J3)&gt;1,(P2-1+((DAY(DATE(YEAR(J3),MONTH(J3)+1,0))-DAY(J3))/DAY(DATE(YEAR(J3),MONTH(J3)+1,0)))),P2)</f>
        <v>6</v>
      </c>
      <c r="R3" s="1" t="s">
        <v>127</v>
      </c>
      <c r="S3" s="1"/>
      <c r="T3" s="127" t="s">
        <v>154</v>
      </c>
      <c r="U3" s="309"/>
      <c r="V3" s="310"/>
      <c r="W3" s="170" t="s">
        <v>167</v>
      </c>
    </row>
    <row r="4" spans="1:23" x14ac:dyDescent="0.25">
      <c r="A4" s="410" t="s">
        <v>156</v>
      </c>
      <c r="B4" s="410"/>
      <c r="C4" s="410"/>
      <c r="D4" s="410"/>
      <c r="E4" s="410"/>
      <c r="F4" s="410"/>
      <c r="G4" s="410"/>
      <c r="I4" s="9"/>
      <c r="J4" s="5" t="s">
        <v>80</v>
      </c>
      <c r="K4" s="5"/>
      <c r="L4" s="5"/>
      <c r="M4" s="5"/>
      <c r="N4" s="5"/>
      <c r="O4" s="41" t="s">
        <v>14</v>
      </c>
      <c r="P4" s="1">
        <f>IF(O3-J3&lt;366, P3/((YEAR(O3)-YEAR(J3))*12+MONTH(O3)-MONTH(J3)+1),0)</f>
        <v>6</v>
      </c>
      <c r="R4" s="1" t="s">
        <v>128</v>
      </c>
      <c r="S4" s="1"/>
      <c r="T4" s="5" t="s">
        <v>81</v>
      </c>
      <c r="U4" s="5" t="s">
        <v>82</v>
      </c>
      <c r="V4" s="5" t="s">
        <v>86</v>
      </c>
    </row>
    <row r="5" spans="1:23" s="5" customFormat="1" x14ac:dyDescent="0.25">
      <c r="B5" s="6" t="s">
        <v>6</v>
      </c>
      <c r="C5" s="7" t="s">
        <v>5</v>
      </c>
      <c r="D5" s="7" t="s">
        <v>7</v>
      </c>
      <c r="E5" s="7" t="s">
        <v>8</v>
      </c>
      <c r="F5" s="7" t="s">
        <v>9</v>
      </c>
      <c r="G5" s="7" t="s">
        <v>10</v>
      </c>
      <c r="I5" s="8"/>
      <c r="J5" s="44">
        <f>YEARFRAC(J3, O3)</f>
        <v>0</v>
      </c>
      <c r="K5" s="44"/>
      <c r="L5" s="44"/>
      <c r="M5" s="44"/>
      <c r="N5" s="44"/>
      <c r="O5" s="264">
        <v>0</v>
      </c>
      <c r="T5" s="5" t="s">
        <v>51</v>
      </c>
      <c r="U5" s="5" t="s">
        <v>83</v>
      </c>
      <c r="V5" s="5" t="s">
        <v>126</v>
      </c>
    </row>
    <row r="6" spans="1:23" s="2" customFormat="1" x14ac:dyDescent="0.25">
      <c r="A6" s="98" t="s">
        <v>3</v>
      </c>
      <c r="B6" s="46"/>
      <c r="C6" s="46"/>
      <c r="D6" s="46"/>
      <c r="E6" s="46"/>
      <c r="F6" s="46"/>
      <c r="G6" s="46"/>
      <c r="I6" s="9"/>
      <c r="J6" s="5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10"/>
      <c r="T6" s="77"/>
      <c r="U6" s="5"/>
      <c r="V6" s="5"/>
    </row>
    <row r="7" spans="1:23" outlineLevel="1" x14ac:dyDescent="0.25">
      <c r="A7" s="22" t="s">
        <v>84</v>
      </c>
      <c r="B7" s="47"/>
      <c r="C7" s="48"/>
      <c r="D7" s="48"/>
      <c r="E7" s="48"/>
      <c r="F7" s="48"/>
      <c r="G7" s="46"/>
      <c r="I7" s="89" t="s">
        <v>132</v>
      </c>
      <c r="J7" s="5">
        <f>IF(U11="F",J8*12,SUM(J9*9,J10))</f>
        <v>0</v>
      </c>
      <c r="K7" s="5">
        <f>IF(U11="F",K8*12,SUM(K9*9,K10))</f>
        <v>0</v>
      </c>
      <c r="L7" s="5">
        <f>IF(U11="F",L8*12,SUM(L9*9,L10))</f>
        <v>0</v>
      </c>
      <c r="M7" s="5">
        <f>IF(U11="F",M8*12,SUM(M9*9,M10))</f>
        <v>0</v>
      </c>
      <c r="N7" s="5">
        <f>IF(U11="F",N8*12,SUM(N9*9,N10))</f>
        <v>0</v>
      </c>
      <c r="O7" s="41" t="s">
        <v>51</v>
      </c>
      <c r="P7" s="134" t="s">
        <v>130</v>
      </c>
      <c r="Q7" s="134" t="s">
        <v>131</v>
      </c>
      <c r="R7" s="11"/>
      <c r="S7" s="12"/>
      <c r="T7" s="78"/>
      <c r="U7" s="80"/>
      <c r="V7" s="80"/>
    </row>
    <row r="8" spans="1:23" outlineLevel="1" x14ac:dyDescent="0.25">
      <c r="A8" s="13" t="e">
        <f>ROUND(P8*100, 2)&amp;"% Avg. Fiscal Effort, "&amp;ROUND(Q8, 2)&amp;" Avg. Calendar Months"</f>
        <v>#DIV/0!</v>
      </c>
      <c r="B8" s="47">
        <f>O8*J8</f>
        <v>0</v>
      </c>
      <c r="C8" s="47">
        <f>IF($J$5&gt;1,IF($U$2&lt;&gt;0,IF(O8*(1+$O$5)&lt;=$U$2,O8*K8*(1+$O$5),$U$2*K8),O8*K8*(1+$O$5)),0)</f>
        <v>0</v>
      </c>
      <c r="D8" s="47">
        <f>IF($J$5&gt;2,IF($U$2&lt;&gt;0,IF(O8*(1+$O$5)^2&lt;=$U$2,O8*L8*(1+$O$5)^2,$U$2*L8),O8*L8*(1+$O$5)^2),0)</f>
        <v>0</v>
      </c>
      <c r="E8" s="47">
        <f>IF($J$5&gt;3,IF($U$2&lt;&gt;0,IF(O8*(1+$O$5)^3&lt;=$U$2,O8*M8*(1+$O$5)^3,$U$2*M8),O8*M8*(1+$O$5)^3),0)</f>
        <v>0</v>
      </c>
      <c r="F8" s="47">
        <f>IF($J$5&gt;4,IF($U$2&lt;&gt;0,IF(O8*(1+$O$5)^4&lt;=$U$2,O8*N8*(1+$O$5)^4,$U$2*N8),O8*N8*(1+$O$5)^4),0)</f>
        <v>0</v>
      </c>
      <c r="G8" s="46">
        <f>SUM(B8:F8)</f>
        <v>0</v>
      </c>
      <c r="H8" s="14"/>
      <c r="I8" s="89" t="s">
        <v>26</v>
      </c>
      <c r="J8" s="265">
        <v>0</v>
      </c>
      <c r="K8" s="265">
        <f>IF($J$5&gt;1,J8,0)</f>
        <v>0</v>
      </c>
      <c r="L8" s="265">
        <f>IF($J$5&gt;2,K8,0)</f>
        <v>0</v>
      </c>
      <c r="M8" s="265">
        <f>IF($J$5&gt;3,L8,0)</f>
        <v>0</v>
      </c>
      <c r="N8" s="265">
        <f>IF($J$5&gt;4,M8,0)</f>
        <v>0</v>
      </c>
      <c r="O8" s="128">
        <f>IF(U11="F",IF($U$2&lt;&gt;0,IF(T11&gt;$U$2,$U$2,T11),T11),0)</f>
        <v>0</v>
      </c>
      <c r="P8" s="135" t="e">
        <f>SUM(J7:N7)/(ROUNDUP($J$5,0)*12)</f>
        <v>#DIV/0!</v>
      </c>
      <c r="Q8" s="136" t="e">
        <f>(SUM(J7:N7)/(CEILING($J$5*12,12)))*12</f>
        <v>#DIV/0!</v>
      </c>
      <c r="R8" s="1"/>
      <c r="S8" s="1"/>
      <c r="T8" s="78"/>
      <c r="U8" s="80"/>
      <c r="V8" s="80"/>
    </row>
    <row r="9" spans="1:23" outlineLevel="1" x14ac:dyDescent="0.25">
      <c r="A9" s="376" t="e">
        <f>ROUND(P8*100,2)&amp;"% Annualized Effort, "&amp;ROUND(Q9,2)&amp;" Avg. Academic Months
"&amp;IF(SUM(J10:N10)&gt;0," and "&amp;Q10 &amp;" Avg. Summer Months", "")</f>
        <v>#DIV/0!</v>
      </c>
      <c r="B9" s="47">
        <f>J9*O9</f>
        <v>0</v>
      </c>
      <c r="C9" s="47">
        <f>IF($J$5&gt;1,IF($U$2&lt;&gt;0,IF(O9*(1+$O$5)&lt;=$U$2*0.75,O9*K9*(1+$O$5),$U$2*0.75*K9),O9*K9*(1+$O$5)),0)</f>
        <v>0</v>
      </c>
      <c r="D9" s="47">
        <f>IF($J$5&gt;2,IF($U$2&lt;&gt;0,IF(O9*(1+$O$5)^2&lt;=$U$2*0.75,O9*L9*(1+$O$5)^2,$U$2*0.75*L9),O9*L9*(1+$O$5)^2),0)</f>
        <v>0</v>
      </c>
      <c r="E9" s="47">
        <f>IF($J$5&gt;3,IF($U$2&lt;&gt;0,IF(O9*(1+$O$5)^3&lt;=$U$2*0.75,O9*M9*(1+$O$5)^3,$U$2*0.75*M9),O9*M9*(1+$O$5)^3),0)</f>
        <v>0</v>
      </c>
      <c r="F9" s="47">
        <f>IF($J$5&gt;4,IF($U$2&lt;&gt;0,IF(O9*(1+$O$5)^4&lt;=$U$2*0.75,O9*N9*(1+$O$5)^4,$U$2*0.75*N9),O9*N9*(1+$O$5)^4),0)</f>
        <v>0</v>
      </c>
      <c r="G9" s="46">
        <f>SUM(B9:F9)</f>
        <v>0</v>
      </c>
      <c r="H9" s="14"/>
      <c r="I9" s="89" t="s">
        <v>15</v>
      </c>
      <c r="J9" s="265">
        <v>0</v>
      </c>
      <c r="K9" s="265">
        <f t="shared" ref="K9:K10" si="0">IF($J$5&gt;1,J9,0)</f>
        <v>0</v>
      </c>
      <c r="L9" s="265">
        <f t="shared" ref="L9:L10" si="1">IF($J$5&gt;2,K9,0)</f>
        <v>0</v>
      </c>
      <c r="M9" s="265">
        <f t="shared" ref="M9:M10" si="2">IF($J$5&gt;3,L9,0)</f>
        <v>0</v>
      </c>
      <c r="N9" s="265">
        <f t="shared" ref="N9:N10" si="3">IF($J$5&gt;4,M9,0)</f>
        <v>0</v>
      </c>
      <c r="O9" s="128">
        <f>IF(U11="A",IF($U$2&lt;&gt;0,IF(T11&gt;($U$2/12*9),($U$2/12*9),T11),T11),0)</f>
        <v>0</v>
      </c>
      <c r="P9" s="143"/>
      <c r="Q9" s="137" t="e">
        <f>((SUM(J7:N7)-SUM(J10:N10))/(CEILING($J$5*9,9)))*9</f>
        <v>#DIV/0!</v>
      </c>
      <c r="R9" s="12"/>
      <c r="S9" s="12"/>
      <c r="T9" s="78"/>
      <c r="U9" s="80"/>
      <c r="V9" s="80"/>
    </row>
    <row r="10" spans="1:23" outlineLevel="1" x14ac:dyDescent="0.25">
      <c r="A10" s="376"/>
      <c r="B10" s="47">
        <f>J10/3*O10</f>
        <v>0</v>
      </c>
      <c r="C10" s="47">
        <f>IF($J$5&gt;1,IF($U$2&lt;&gt;0,IF(O10*(1+$O$5)&lt;=$U$2*0.25,O10*K10/3*(1+$O$5),$U$2*0.25*K10/3),O10*K10/3*(1+$O$5)),0)</f>
        <v>0</v>
      </c>
      <c r="D10" s="47">
        <f>IF($J$5&gt;2,IF($U$2&lt;&gt;0,IF(O10*(1+$O$5)^2&lt;=$U$2*0.25,O10*L10/3*(1+$O$5)^2,$U$2*0.25*L10/3),O10*L10/3*(1+$O$5)^2),0)</f>
        <v>0</v>
      </c>
      <c r="E10" s="47">
        <f>IF($J$5&gt;3,IF($U$2&lt;&gt;0,IF(O10*(1+$O$5)^3&lt;=$U$2*0.25,O10*M10/3*(1+$O$5)^3,$U$2*0.25*M10/3),O10*M10/3*(1+$O$5)^3),0)</f>
        <v>0</v>
      </c>
      <c r="F10" s="47">
        <f>IF($J$5&gt;4,IF($U$2&lt;&gt;0,IF(O10*(1+$O$5)^4&lt;=$U$2*0.25,O10*N10/3*(1+$O$5)^4,$U$2*0.25*N10/3),O10*N10/3*(1+$O$5)^4),0)</f>
        <v>0</v>
      </c>
      <c r="G10" s="46">
        <f>SUM(B10:F10)</f>
        <v>0</v>
      </c>
      <c r="H10" s="14"/>
      <c r="I10" s="89" t="s">
        <v>17</v>
      </c>
      <c r="J10" s="266">
        <v>0</v>
      </c>
      <c r="K10" s="266">
        <f t="shared" si="0"/>
        <v>0</v>
      </c>
      <c r="L10" s="266">
        <f t="shared" si="1"/>
        <v>0</v>
      </c>
      <c r="M10" s="266">
        <f t="shared" si="2"/>
        <v>0</v>
      </c>
      <c r="N10" s="266">
        <f t="shared" si="3"/>
        <v>0</v>
      </c>
      <c r="O10" s="128">
        <f>IF(U11="A",IF($U$2&lt;&gt;0,IF(T11/9*3&gt;($U$2/12*3),($U$2/12*3),T11/9*3),T11/9*3),0)</f>
        <v>0</v>
      </c>
      <c r="P10" s="138"/>
      <c r="Q10" s="138" t="e">
        <f>((SUM(J7:N7)-SUM(J9:N9)*9)/(CEILING($J$5*3,3)))*3</f>
        <v>#DIV/0!</v>
      </c>
      <c r="R10" s="12"/>
      <c r="S10" s="12"/>
      <c r="T10" s="1"/>
      <c r="U10" s="80"/>
      <c r="V10" s="80"/>
    </row>
    <row r="11" spans="1:23" outlineLevel="1" x14ac:dyDescent="0.25">
      <c r="A11" s="18"/>
      <c r="B11" s="47"/>
      <c r="C11" s="47"/>
      <c r="D11" s="48"/>
      <c r="E11" s="48"/>
      <c r="F11" s="48"/>
      <c r="G11" s="49"/>
      <c r="H11" s="19"/>
      <c r="I11" s="89" t="s">
        <v>111</v>
      </c>
      <c r="J11" s="130">
        <f>SUM(B8:B10)*$V11</f>
        <v>0</v>
      </c>
      <c r="K11" s="130">
        <f t="shared" ref="K11:N11" si="4">SUM(C8:C10)*$V11</f>
        <v>0</v>
      </c>
      <c r="L11" s="130">
        <f t="shared" si="4"/>
        <v>0</v>
      </c>
      <c r="M11" s="130">
        <f t="shared" si="4"/>
        <v>0</v>
      </c>
      <c r="N11" s="130">
        <f t="shared" si="4"/>
        <v>0</v>
      </c>
      <c r="O11" s="129"/>
      <c r="P11" s="138"/>
      <c r="Q11" s="138"/>
      <c r="R11" s="12"/>
      <c r="S11" s="12"/>
      <c r="T11" s="311">
        <v>0</v>
      </c>
      <c r="U11" s="312"/>
      <c r="V11" s="131">
        <f>$J$79</f>
        <v>0</v>
      </c>
    </row>
    <row r="12" spans="1:23" outlineLevel="1" x14ac:dyDescent="0.25">
      <c r="A12" s="18"/>
      <c r="B12" s="47"/>
      <c r="C12" s="47"/>
      <c r="D12" s="48"/>
      <c r="E12" s="48"/>
      <c r="F12" s="48"/>
      <c r="G12" s="49"/>
      <c r="H12" s="19"/>
      <c r="I12" s="115"/>
      <c r="J12" s="79"/>
      <c r="K12" s="79"/>
      <c r="L12" s="79"/>
      <c r="M12" s="79"/>
      <c r="N12" s="79"/>
      <c r="O12" s="21"/>
      <c r="P12" s="138"/>
      <c r="Q12" s="138"/>
      <c r="R12" s="12"/>
      <c r="S12" s="12"/>
      <c r="T12" s="78"/>
      <c r="U12" s="80"/>
      <c r="V12" s="80"/>
    </row>
    <row r="13" spans="1:23" outlineLevel="1" x14ac:dyDescent="0.25">
      <c r="A13" s="22" t="s">
        <v>84</v>
      </c>
      <c r="B13" s="47"/>
      <c r="C13" s="48"/>
      <c r="D13" s="48"/>
      <c r="E13" s="48"/>
      <c r="F13" s="48"/>
      <c r="G13" s="46"/>
      <c r="I13" s="89" t="s">
        <v>132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1" t="s">
        <v>51</v>
      </c>
      <c r="P13" s="134" t="s">
        <v>130</v>
      </c>
      <c r="Q13" s="134" t="s">
        <v>131</v>
      </c>
      <c r="R13" s="11"/>
      <c r="S13" s="12"/>
      <c r="T13" s="78"/>
      <c r="U13" s="80"/>
      <c r="V13" s="80"/>
    </row>
    <row r="14" spans="1:23" ht="15.75" customHeight="1" outlineLevel="1" x14ac:dyDescent="0.25">
      <c r="A14" s="13" t="e">
        <f>ROUND(P14*100, 2)&amp;"% Avg. Fiscal Effort, "&amp;ROUND(Q14, 2)&amp;" Avg. Calendar Months"</f>
        <v>#DIV/0!</v>
      </c>
      <c r="B14" s="47">
        <f>O14*J14</f>
        <v>0</v>
      </c>
      <c r="C14" s="47">
        <f>IF($J$5&gt;1,IF($U$2&lt;&gt;0,IF(O14*(1+$O$5)&lt;=$U$2,O14*K14*(1+$O$5),$U$2*K14),O14*K14*(1+$O$5)),0)</f>
        <v>0</v>
      </c>
      <c r="D14" s="47">
        <f>IF($J$5&gt;2,IF($U$2&lt;&gt;0,IF(O14*(1+$O$5)^2&lt;=$U$2,O14*L14*(1+$O$5)^2,$U$2*L14),O14*L14*(1+$O$5)^2),0)</f>
        <v>0</v>
      </c>
      <c r="E14" s="47">
        <f>IF($J$5&gt;3,IF($U$2&lt;&gt;0,IF(O14*(1+$O$5)^3&lt;=$U$2,O14*M14*(1+$O$5)^3,$U$2*M14),O14*M14*(1+$O$5)^3),0)</f>
        <v>0</v>
      </c>
      <c r="F14" s="47">
        <f>IF($J$5&gt;4,IF($U$2&lt;&gt;0,IF(O14*(1+$O$5)^4&lt;=$U$2,O14*N14*(1+$O$5)^4,$U$2*N14),O14*N14*(1+$O$5)^4),0)</f>
        <v>0</v>
      </c>
      <c r="G14" s="46">
        <f>SUM(B14:F14)</f>
        <v>0</v>
      </c>
      <c r="H14" s="14"/>
      <c r="I14" s="89" t="s">
        <v>26</v>
      </c>
      <c r="J14" s="265">
        <v>0</v>
      </c>
      <c r="K14" s="265">
        <f>IF($J$5&gt;1,J14,0)</f>
        <v>0</v>
      </c>
      <c r="L14" s="265">
        <f>IF($J$5&gt;2,K14,0)</f>
        <v>0</v>
      </c>
      <c r="M14" s="265">
        <f>IF($J$5&gt;3,L14,0)</f>
        <v>0</v>
      </c>
      <c r="N14" s="265">
        <f>IF($J$5&gt;4,M14,0)</f>
        <v>0</v>
      </c>
      <c r="O14" s="128">
        <f>IF(U17="F",IF($U$2&lt;&gt;0,IF(T17&gt;$U$2,$U$2,T17),T17),0)</f>
        <v>0</v>
      </c>
      <c r="P14" s="135" t="e">
        <f>SUM(J13:N13)/(ROUNDUP($J$5,0)*12)</f>
        <v>#DIV/0!</v>
      </c>
      <c r="Q14" s="136" t="e">
        <f>(SUM(J13:N13)/(CEILING($J$5*12,12)))*12</f>
        <v>#DIV/0!</v>
      </c>
      <c r="R14" s="1"/>
      <c r="S14" s="1"/>
      <c r="T14" s="78"/>
      <c r="U14" s="80"/>
      <c r="V14" s="80"/>
    </row>
    <row r="15" spans="1:23" outlineLevel="1" x14ac:dyDescent="0.25">
      <c r="A15" s="376" t="e">
        <f>ROUND(P14*100,2)&amp;"% Annualized Effort, "&amp;ROUND(Q15,2)&amp;" Avg. Academic Months
"&amp;IF(SUM(J16:N16)&gt;0," and "&amp;Q16 &amp;" Avg. Summer Months", "")</f>
        <v>#DIV/0!</v>
      </c>
      <c r="B15" s="47">
        <f>J15*O15</f>
        <v>0</v>
      </c>
      <c r="C15" s="47">
        <f>IF($J$5&gt;1,IF($U$2&lt;&gt;0,IF(O15*(1+$O$5)&lt;=$U$2*0.75,O15*K15*(1+$O$5),$U$2*0.75*K15),O15*K15*(1+$O$5)),0)</f>
        <v>0</v>
      </c>
      <c r="D15" s="47">
        <f>IF($J$5&gt;2,IF($U$2&lt;&gt;0,IF(O15*(1+$O$5)^2&lt;=$U$2*0.75,O15*L15*(1+$O$5)^2,$U$2*0.75*L15),O15*L15*(1+$O$5)^2),0)</f>
        <v>0</v>
      </c>
      <c r="E15" s="47">
        <f>IF($J$5&gt;3,IF($U$2&lt;&gt;0,IF(O15*(1+$O$5)^3&lt;=$U$2*0.75,O15*M15*(1+$O$5)^3,$U$2*0.75*M15),O15*M15*(1+$O$5)^3),0)</f>
        <v>0</v>
      </c>
      <c r="F15" s="47">
        <f>IF($J$5&gt;4,IF($U$2&lt;&gt;0,IF(O15*(1+$O$5)^4&lt;=$U$2*0.75,O15*N15*(1+$O$5)^4,$U$2*0.75*N15),O15*N15*(1+$O$5)^4),0)</f>
        <v>0</v>
      </c>
      <c r="G15" s="46">
        <f>SUM(B15:F15)</f>
        <v>0</v>
      </c>
      <c r="H15" s="14"/>
      <c r="I15" s="89" t="s">
        <v>15</v>
      </c>
      <c r="J15" s="265">
        <v>0</v>
      </c>
      <c r="K15" s="265">
        <f t="shared" ref="K15:K16" si="5">IF($J$5&gt;1,J15,0)</f>
        <v>0</v>
      </c>
      <c r="L15" s="265">
        <f t="shared" ref="L15:L16" si="6">IF($J$5&gt;2,K15,0)</f>
        <v>0</v>
      </c>
      <c r="M15" s="265">
        <f t="shared" ref="M15:M16" si="7">IF($J$5&gt;3,L15,0)</f>
        <v>0</v>
      </c>
      <c r="N15" s="265">
        <f t="shared" ref="N15:N16" si="8">IF($J$5&gt;4,M15,0)</f>
        <v>0</v>
      </c>
      <c r="O15" s="128">
        <f>IF(U17="A",IF($U$2&lt;&gt;0,IF(T17&gt;($U$2/12*9),($U$2/12*9),T17),T17),0)</f>
        <v>0</v>
      </c>
      <c r="P15" s="143"/>
      <c r="Q15" s="137" t="e">
        <f>((SUM(J13:N13)-SUM(J16:N16))/(CEILING($J$5*9,9)))*9</f>
        <v>#DIV/0!</v>
      </c>
      <c r="R15" s="12"/>
      <c r="S15" s="12"/>
      <c r="T15" s="78"/>
      <c r="U15" s="80"/>
      <c r="V15" s="80"/>
    </row>
    <row r="16" spans="1:23" outlineLevel="1" x14ac:dyDescent="0.25">
      <c r="A16" s="376"/>
      <c r="B16" s="47">
        <f>J16/3*O16</f>
        <v>0</v>
      </c>
      <c r="C16" s="47">
        <f>IF($J$5&gt;1,IF($U$2&lt;&gt;0,IF(O16*(1+$O$5)&lt;=$U$2*0.25,O16*K16/3*(1+$O$5),$U$2*0.25*K16/3),O16*K16/3*(1+$O$5)),0)</f>
        <v>0</v>
      </c>
      <c r="D16" s="47">
        <f>IF($J$5&gt;2,IF($U$2&lt;&gt;0,IF(O16*(1+$O$5)^2&lt;=$U$2*0.25,O16*L16/3*(1+$O$5)^2,$U$2*0.25*L16/3),O16*L16/3*(1+$O$5)^2),0)</f>
        <v>0</v>
      </c>
      <c r="E16" s="47">
        <f>IF($J$5&gt;3,IF($U$2&lt;&gt;0,IF(O16*(1+$O$5)^3&lt;=$U$2*0.25,O16*M16/3*(1+$O$5)^3,$U$2*0.25*M16/3),O16*M16/3*(1+$O$5)^3),0)</f>
        <v>0</v>
      </c>
      <c r="F16" s="47">
        <f>IF($J$5&gt;4,IF($U$2&lt;&gt;0,IF(O16*(1+$O$5)^4&lt;=$U$2*0.25,O16*N16/3*(1+$O$5)^4,$U$2*0.25*N16/3),O16*N16/3*(1+$O$5)^4),0)</f>
        <v>0</v>
      </c>
      <c r="G16" s="46">
        <f>SUM(B16:F16)</f>
        <v>0</v>
      </c>
      <c r="H16" s="14"/>
      <c r="I16" s="89" t="s">
        <v>17</v>
      </c>
      <c r="J16" s="266">
        <v>0</v>
      </c>
      <c r="K16" s="266">
        <f t="shared" si="5"/>
        <v>0</v>
      </c>
      <c r="L16" s="266">
        <f t="shared" si="6"/>
        <v>0</v>
      </c>
      <c r="M16" s="266">
        <f t="shared" si="7"/>
        <v>0</v>
      </c>
      <c r="N16" s="266">
        <f t="shared" si="8"/>
        <v>0</v>
      </c>
      <c r="O16" s="128">
        <f>IF(U17="A",IF($U$2&lt;&gt;0,IF(T17/9*3&gt;($U$2/12*3),($U$2/12*3),T17/9*3),T17/9*3),0)</f>
        <v>0</v>
      </c>
      <c r="P16" s="138"/>
      <c r="Q16" s="138" t="e">
        <f>((SUM(J13:N13)-SUM(J15:N15)*9)/(CEILING($J$5*3,3)))*3</f>
        <v>#DIV/0!</v>
      </c>
      <c r="R16" s="12"/>
      <c r="S16" s="12"/>
      <c r="T16" s="1"/>
      <c r="U16" s="80"/>
      <c r="V16" s="80"/>
    </row>
    <row r="17" spans="1:22" outlineLevel="1" x14ac:dyDescent="0.25">
      <c r="A17" s="18"/>
      <c r="B17" s="47"/>
      <c r="C17" s="47"/>
      <c r="D17" s="48"/>
      <c r="E17" s="48"/>
      <c r="F17" s="48"/>
      <c r="G17" s="49"/>
      <c r="H17" s="19"/>
      <c r="I17" s="89" t="s">
        <v>111</v>
      </c>
      <c r="J17" s="130">
        <f>SUM(B14:B16)*$V17</f>
        <v>0</v>
      </c>
      <c r="K17" s="130">
        <f t="shared" ref="K17:N17" si="9">SUM(C14:C16)*$V17</f>
        <v>0</v>
      </c>
      <c r="L17" s="130">
        <f t="shared" si="9"/>
        <v>0</v>
      </c>
      <c r="M17" s="130">
        <f t="shared" si="9"/>
        <v>0</v>
      </c>
      <c r="N17" s="130">
        <f t="shared" si="9"/>
        <v>0</v>
      </c>
      <c r="O17" s="129"/>
      <c r="P17" s="138"/>
      <c r="Q17" s="138"/>
      <c r="R17" s="12"/>
      <c r="S17" s="12"/>
      <c r="T17" s="311">
        <v>0</v>
      </c>
      <c r="U17" s="312"/>
      <c r="V17" s="131">
        <f>$J$79</f>
        <v>0</v>
      </c>
    </row>
    <row r="18" spans="1:22" outlineLevel="1" x14ac:dyDescent="0.25">
      <c r="A18" s="18"/>
      <c r="B18" s="47"/>
      <c r="C18" s="47"/>
      <c r="D18" s="48"/>
      <c r="E18" s="48"/>
      <c r="F18" s="48"/>
      <c r="G18" s="49"/>
      <c r="H18" s="19"/>
      <c r="I18" s="115"/>
      <c r="J18" s="79"/>
      <c r="K18" s="79"/>
      <c r="L18" s="79"/>
      <c r="M18" s="79"/>
      <c r="N18" s="79"/>
      <c r="O18" s="21"/>
      <c r="P18" s="138"/>
      <c r="Q18" s="138"/>
      <c r="R18" s="12"/>
      <c r="S18" s="12"/>
      <c r="T18" s="78"/>
      <c r="U18" s="80"/>
      <c r="V18" s="80"/>
    </row>
    <row r="19" spans="1:22" outlineLevel="1" x14ac:dyDescent="0.25">
      <c r="A19" s="22" t="s">
        <v>84</v>
      </c>
      <c r="B19" s="47"/>
      <c r="C19" s="48"/>
      <c r="D19" s="48"/>
      <c r="E19" s="48"/>
      <c r="F19" s="48"/>
      <c r="G19" s="46"/>
      <c r="I19" s="89" t="s">
        <v>132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1" t="s">
        <v>51</v>
      </c>
      <c r="P19" s="134" t="s">
        <v>130</v>
      </c>
      <c r="Q19" s="134" t="s">
        <v>131</v>
      </c>
      <c r="R19" s="11"/>
      <c r="S19" s="12"/>
      <c r="T19" s="78"/>
      <c r="U19" s="80"/>
      <c r="V19" s="80"/>
    </row>
    <row r="20" spans="1:22" outlineLevel="1" x14ac:dyDescent="0.25">
      <c r="A20" s="13" t="e">
        <f>ROUND(P20*100, 2)&amp;"% Avg. Fiscal Effort, "&amp;ROUND(Q20, 2)&amp;" Avg. Calendar Months"</f>
        <v>#DIV/0!</v>
      </c>
      <c r="B20" s="47">
        <f>O20*J20</f>
        <v>0</v>
      </c>
      <c r="C20" s="47">
        <f>IF($J$5&gt;1,IF($U$2&lt;&gt;0,IF(O20*(1+$O$5)&lt;=$U$2,O20*K20*(1+$O$5),$U$2*K20),O20*K20*(1+$O$5)),0)</f>
        <v>0</v>
      </c>
      <c r="D20" s="47">
        <f>IF($J$5&gt;2,IF($U$2&lt;&gt;0,IF(O20*(1+$O$5)^2&lt;=$U$2,O20*L20*(1+$O$5)^2,$U$2*L20),O20*L20*(1+$O$5)^2),0)</f>
        <v>0</v>
      </c>
      <c r="E20" s="47">
        <f>IF($J$5&gt;3,IF($U$2&lt;&gt;0,IF(O20*(1+$O$5)^3&lt;=$U$2,O20*M20*(1+$O$5)^3,$U$2*M20),O20*M20*(1+$O$5)^3),0)</f>
        <v>0</v>
      </c>
      <c r="F20" s="47">
        <f>IF($J$5&gt;4,IF($U$2&lt;&gt;0,IF(O20*(1+$O$5)^4&lt;=$U$2,O20*N20*(1+$O$5)^4,$U$2*N20),O20*N20*(1+$O$5)^4),0)</f>
        <v>0</v>
      </c>
      <c r="G20" s="46">
        <f>SUM(B20:F20)</f>
        <v>0</v>
      </c>
      <c r="H20" s="14"/>
      <c r="I20" s="89" t="s">
        <v>26</v>
      </c>
      <c r="J20" s="265">
        <v>0</v>
      </c>
      <c r="K20" s="265">
        <f>IF($J$5&gt;1,J20,0)</f>
        <v>0</v>
      </c>
      <c r="L20" s="265">
        <f>IF($J$5&gt;2,K20,0)</f>
        <v>0</v>
      </c>
      <c r="M20" s="265">
        <f>IF($J$5&gt;3,L20,0)</f>
        <v>0</v>
      </c>
      <c r="N20" s="265">
        <f>IF($J$5&gt;4,M20,0)</f>
        <v>0</v>
      </c>
      <c r="O20" s="128">
        <f>IF(U23="F",IF($U$2&lt;&gt;0,IF(T23&gt;$U$2,$U$2,T23),T23),0)</f>
        <v>0</v>
      </c>
      <c r="P20" s="135" t="e">
        <f>SUM(J19:N19)/(ROUNDUP($J$5,0)*12)</f>
        <v>#DIV/0!</v>
      </c>
      <c r="Q20" s="136" t="e">
        <f>(SUM(J19:N19)/(CEILING($J$5*12,12)))*12</f>
        <v>#DIV/0!</v>
      </c>
      <c r="R20" s="1"/>
      <c r="S20" s="1"/>
      <c r="T20" s="78"/>
      <c r="U20" s="80"/>
      <c r="V20" s="80"/>
    </row>
    <row r="21" spans="1:22" outlineLevel="1" x14ac:dyDescent="0.25">
      <c r="A21" s="376" t="e">
        <f>ROUND(P20*100,2)&amp;"% Annualized Effort, "&amp;ROUND(Q21,2)&amp;" Avg. Academic Months
"&amp;IF(SUM(J22:N22)&gt;0," and "&amp;Q22 &amp;" Avg. Summer Months", "")</f>
        <v>#DIV/0!</v>
      </c>
      <c r="B21" s="47">
        <f>J21*O21</f>
        <v>0</v>
      </c>
      <c r="C21" s="47">
        <f>IF($J$5&gt;1,IF($U$2&lt;&gt;0,IF(O21*(1+$O$5)&lt;=$U$2*0.75,O21*K21*(1+$O$5),$U$2*0.75*K21),O21*K21*(1+$O$5)),0)</f>
        <v>0</v>
      </c>
      <c r="D21" s="47">
        <f>IF($J$5&gt;2,IF($U$2&lt;&gt;0,IF(O21*(1+$O$5)^2&lt;=$U$2*0.75,O21*L21*(1+$O$5)^2,$U$2*0.75*L21),O21*L21*(1+$O$5)^2),0)</f>
        <v>0</v>
      </c>
      <c r="E21" s="47">
        <f>IF($J$5&gt;3,IF($U$2&lt;&gt;0,IF(O21*(1+$O$5)^3&lt;=$U$2*0.75,O21*M21*(1+$O$5)^3,$U$2*0.75*M21),O21*M21*(1+$O$5)^3),0)</f>
        <v>0</v>
      </c>
      <c r="F21" s="47">
        <f>IF($J$5&gt;4,IF($U$2&lt;&gt;0,IF(O21*(1+$O$5)^4&lt;=$U$2*0.75,O21*N21*(1+$O$5)^4,$U$2*0.75*N21),O21*N21*(1+$O$5)^4),0)</f>
        <v>0</v>
      </c>
      <c r="G21" s="46">
        <f>SUM(B21:F21)</f>
        <v>0</v>
      </c>
      <c r="H21" s="14"/>
      <c r="I21" s="89" t="s">
        <v>15</v>
      </c>
      <c r="J21" s="265">
        <v>0</v>
      </c>
      <c r="K21" s="265">
        <f t="shared" ref="K21:K22" si="10">IF($J$5&gt;1,J21,0)</f>
        <v>0</v>
      </c>
      <c r="L21" s="265">
        <f t="shared" ref="L21:L22" si="11">IF($J$5&gt;2,K21,0)</f>
        <v>0</v>
      </c>
      <c r="M21" s="265">
        <f t="shared" ref="M21:M22" si="12">IF($J$5&gt;3,L21,0)</f>
        <v>0</v>
      </c>
      <c r="N21" s="265">
        <f t="shared" ref="N21:N22" si="13">IF($J$5&gt;4,M21,0)</f>
        <v>0</v>
      </c>
      <c r="O21" s="128">
        <f>IF(U23="A",IF($U$2&lt;&gt;0,IF(T23&gt;($U$2/12*9),($U$2/12*9),T23),T23),0)</f>
        <v>0</v>
      </c>
      <c r="P21" s="143"/>
      <c r="Q21" s="137" t="e">
        <f>((SUM(J19:N19)-SUM(J22:N22))/(CEILING($J$5*9,9)))*9</f>
        <v>#DIV/0!</v>
      </c>
      <c r="R21" s="12"/>
      <c r="S21" s="12"/>
      <c r="T21" s="78"/>
      <c r="U21" s="80"/>
      <c r="V21" s="80"/>
    </row>
    <row r="22" spans="1:22" outlineLevel="1" x14ac:dyDescent="0.25">
      <c r="A22" s="376"/>
      <c r="B22" s="47">
        <f>J22/3*O22</f>
        <v>0</v>
      </c>
      <c r="C22" s="47">
        <f>IF($J$5&gt;1,IF($U$2&lt;&gt;0,IF(O22*(1+$O$5)&lt;=$U$2*0.25,O22*K22/3*(1+$O$5),$U$2*0.25*K22/3),O22*K22/3*(1+$O$5)),0)</f>
        <v>0</v>
      </c>
      <c r="D22" s="47">
        <f>IF($J$5&gt;2,IF($U$2&lt;&gt;0,IF(O22*(1+$O$5)^2&lt;=$U$2*0.25,O22*L22/3*(1+$O$5)^2,$U$2*0.25*L22/3),O22*L22/3*(1+$O$5)^2),0)</f>
        <v>0</v>
      </c>
      <c r="E22" s="47">
        <f>IF($J$5&gt;3,IF($U$2&lt;&gt;0,IF(O22*(1+$O$5)^3&lt;=$U$2*0.25,O22*M22/3*(1+$O$5)^3,$U$2*0.25*M22/3),O22*M22/3*(1+$O$5)^3),0)</f>
        <v>0</v>
      </c>
      <c r="F22" s="47">
        <f>IF($J$5&gt;4,IF($U$2&lt;&gt;0,IF(O22*(1+$O$5)^4&lt;=$U$2*0.25,O22*N22/3*(1+$O$5)^4,$U$2*0.25*N22/3),O22*N22/3*(1+$O$5)^4),0)</f>
        <v>0</v>
      </c>
      <c r="G22" s="46">
        <f>SUM(B22:F22)</f>
        <v>0</v>
      </c>
      <c r="H22" s="14"/>
      <c r="I22" s="89" t="s">
        <v>17</v>
      </c>
      <c r="J22" s="266">
        <v>0</v>
      </c>
      <c r="K22" s="266">
        <f t="shared" si="10"/>
        <v>0</v>
      </c>
      <c r="L22" s="266">
        <f t="shared" si="11"/>
        <v>0</v>
      </c>
      <c r="M22" s="266">
        <f t="shared" si="12"/>
        <v>0</v>
      </c>
      <c r="N22" s="266">
        <f t="shared" si="13"/>
        <v>0</v>
      </c>
      <c r="O22" s="128">
        <f>IF(U23="A",IF($U$2&lt;&gt;0,IF(T23/9*3&gt;($U$2/12*3),($U$2/12*3),T23/9*3),T23/9*3),0)</f>
        <v>0</v>
      </c>
      <c r="P22" s="138"/>
      <c r="Q22" s="138" t="e">
        <f>((SUM(J19:N19)-SUM(J21:N21)*9)/(CEILING($J$5*3,3)))*3</f>
        <v>#DIV/0!</v>
      </c>
      <c r="R22" s="12"/>
      <c r="S22" s="12"/>
      <c r="T22" s="1"/>
      <c r="U22" s="80"/>
      <c r="V22" s="80"/>
    </row>
    <row r="23" spans="1:22" outlineLevel="1" x14ac:dyDescent="0.25">
      <c r="A23" s="18"/>
      <c r="B23" s="47"/>
      <c r="C23" s="47"/>
      <c r="D23" s="48"/>
      <c r="E23" s="48"/>
      <c r="F23" s="48"/>
      <c r="G23" s="49"/>
      <c r="H23" s="19"/>
      <c r="I23" s="89" t="s">
        <v>111</v>
      </c>
      <c r="J23" s="130">
        <f>SUM(B20:B22)*$V23</f>
        <v>0</v>
      </c>
      <c r="K23" s="130">
        <f t="shared" ref="K23:N23" si="14">SUM(C20:C22)*$V23</f>
        <v>0</v>
      </c>
      <c r="L23" s="130">
        <f t="shared" si="14"/>
        <v>0</v>
      </c>
      <c r="M23" s="130">
        <f t="shared" si="14"/>
        <v>0</v>
      </c>
      <c r="N23" s="130">
        <f t="shared" si="14"/>
        <v>0</v>
      </c>
      <c r="O23" s="129"/>
      <c r="P23" s="138"/>
      <c r="Q23" s="138"/>
      <c r="R23" s="12"/>
      <c r="S23" s="12"/>
      <c r="T23" s="311">
        <v>0</v>
      </c>
      <c r="U23" s="312"/>
      <c r="V23" s="131">
        <f>$J$79</f>
        <v>0</v>
      </c>
    </row>
    <row r="24" spans="1:22" outlineLevel="1" x14ac:dyDescent="0.25">
      <c r="A24" s="18"/>
      <c r="B24" s="47"/>
      <c r="C24" s="47"/>
      <c r="D24" s="48"/>
      <c r="E24" s="48"/>
      <c r="F24" s="48"/>
      <c r="G24" s="49"/>
      <c r="H24" s="19"/>
      <c r="I24" s="115"/>
      <c r="J24" s="79"/>
      <c r="K24" s="79"/>
      <c r="L24" s="79"/>
      <c r="M24" s="79"/>
      <c r="N24" s="79"/>
      <c r="O24" s="21"/>
      <c r="P24" s="138"/>
      <c r="Q24" s="138"/>
      <c r="R24" s="12"/>
      <c r="S24" s="12"/>
      <c r="T24" s="78"/>
      <c r="U24" s="80"/>
      <c r="V24" s="80"/>
    </row>
    <row r="25" spans="1:22" outlineLevel="1" x14ac:dyDescent="0.25">
      <c r="A25" s="22" t="s">
        <v>84</v>
      </c>
      <c r="B25" s="47"/>
      <c r="C25" s="48"/>
      <c r="D25" s="48"/>
      <c r="E25" s="48"/>
      <c r="F25" s="48"/>
      <c r="G25" s="46"/>
      <c r="I25" s="89" t="s">
        <v>132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1" t="s">
        <v>51</v>
      </c>
      <c r="P25" s="134" t="s">
        <v>130</v>
      </c>
      <c r="Q25" s="134" t="s">
        <v>131</v>
      </c>
      <c r="R25" s="11"/>
      <c r="S25" s="12"/>
      <c r="T25" s="78"/>
      <c r="U25" s="80"/>
      <c r="V25" s="80"/>
    </row>
    <row r="26" spans="1:22" outlineLevel="1" x14ac:dyDescent="0.25">
      <c r="A26" s="13" t="e">
        <f>ROUND(P26*100, 2)&amp;"% Avg. Fiscal Effort, "&amp;ROUND(Q26, 2)&amp;" Avg. Calendar Months"</f>
        <v>#DIV/0!</v>
      </c>
      <c r="B26" s="47">
        <f>O26*J26</f>
        <v>0</v>
      </c>
      <c r="C26" s="47">
        <f>IF($J$5&gt;1,IF($U$2&lt;&gt;0,IF(O26*(1+$O$5)&lt;=$U$2,O26*K26*(1+$O$5),$U$2*K26),O26*K26*(1+$O$5)),0)</f>
        <v>0</v>
      </c>
      <c r="D26" s="47">
        <f>IF($J$5&gt;2,IF($U$2&lt;&gt;0,IF(O26*(1+$O$5)^2&lt;=$U$2,O26*L26*(1+$O$5)^2,$U$2*L26),O26*L26*(1+$O$5)^2),0)</f>
        <v>0</v>
      </c>
      <c r="E26" s="47">
        <f>IF($J$5&gt;3,IF($U$2&lt;&gt;0,IF(O26*(1+$O$5)^3&lt;=$U$2,O26*M26*(1+$O$5)^3,$U$2*M26),O26*M26*(1+$O$5)^3),0)</f>
        <v>0</v>
      </c>
      <c r="F26" s="47">
        <f>IF($J$5&gt;4,IF($U$2&lt;&gt;0,IF(O26*(1+$O$5)^4&lt;=$U$2,O26*N26*(1+$O$5)^4,$U$2*N26),O26*N26*(1+$O$5)^4),0)</f>
        <v>0</v>
      </c>
      <c r="G26" s="46">
        <f>SUM(B26:F26)</f>
        <v>0</v>
      </c>
      <c r="H26" s="14"/>
      <c r="I26" s="89" t="s">
        <v>26</v>
      </c>
      <c r="J26" s="265">
        <v>0</v>
      </c>
      <c r="K26" s="265">
        <f>IF($J$5&gt;1,J26,0)</f>
        <v>0</v>
      </c>
      <c r="L26" s="265">
        <f>IF($J$5&gt;2,K26,0)</f>
        <v>0</v>
      </c>
      <c r="M26" s="265">
        <f>IF($J$5&gt;3,L26,0)</f>
        <v>0</v>
      </c>
      <c r="N26" s="265">
        <f>IF($J$5&gt;4,M26,0)</f>
        <v>0</v>
      </c>
      <c r="O26" s="128">
        <f>IF(U29="F",IF($U$2&lt;&gt;0,IF(T29&gt;$U$2,$U$2,T29),T29),0)</f>
        <v>0</v>
      </c>
      <c r="P26" s="135" t="e">
        <f>SUM(J25:N25)/(ROUNDUP($J$5,0)*12)</f>
        <v>#DIV/0!</v>
      </c>
      <c r="Q26" s="136" t="e">
        <f>(SUM(J25:N25)/(CEILING($J$5*12,12)))*12</f>
        <v>#DIV/0!</v>
      </c>
      <c r="R26" s="1"/>
      <c r="S26" s="1"/>
      <c r="T26" s="78"/>
      <c r="U26" s="80"/>
      <c r="V26" s="80"/>
    </row>
    <row r="27" spans="1:22" outlineLevel="1" x14ac:dyDescent="0.25">
      <c r="A27" s="376" t="e">
        <f>ROUND(P26*100,2)&amp;"% Annualized Effort, "&amp;ROUND(Q27,2)&amp;" Avg. Academic Months
"&amp;IF(SUM(J28:N28)&gt;0," and "&amp;Q28 &amp;" Avg. Summer Months", "")</f>
        <v>#DIV/0!</v>
      </c>
      <c r="B27" s="47">
        <f>J27*O27</f>
        <v>0</v>
      </c>
      <c r="C27" s="47">
        <f>IF($J$5&gt;1,IF($U$2&lt;&gt;0,IF(O27*(1+$O$5)&lt;=$U$2*0.75,O27*K27*(1+$O$5),$U$2*0.75*K27),O27*K27*(1+$O$5)),0)</f>
        <v>0</v>
      </c>
      <c r="D27" s="47">
        <f>IF($J$5&gt;2,IF($U$2&lt;&gt;0,IF(O27*(1+$O$5)^2&lt;=$U$2*0.75,O27*L27*(1+$O$5)^2,$U$2*0.75*L27),O27*L27*(1+$O$5)^2),0)</f>
        <v>0</v>
      </c>
      <c r="E27" s="47">
        <f>IF($J$5&gt;3,IF($U$2&lt;&gt;0,IF(O27*(1+$O$5)^3&lt;=$U$2*0.75,O27*M27*(1+$O$5)^3,$U$2*0.75*M27),O27*M27*(1+$O$5)^3),0)</f>
        <v>0</v>
      </c>
      <c r="F27" s="47">
        <f>IF($J$5&gt;4,IF($U$2&lt;&gt;0,IF(O27*(1+$O$5)^4&lt;=$U$2*0.75,O27*N27*(1+$O$5)^4,$U$2*0.75*N27),O27*N27*(1+$O$5)^4),0)</f>
        <v>0</v>
      </c>
      <c r="G27" s="46">
        <f>SUM(B27:F27)</f>
        <v>0</v>
      </c>
      <c r="H27" s="14"/>
      <c r="I27" s="89" t="s">
        <v>15</v>
      </c>
      <c r="J27" s="265">
        <v>0</v>
      </c>
      <c r="K27" s="265">
        <f t="shared" ref="K27:K28" si="15">IF($J$5&gt;1,J27,0)</f>
        <v>0</v>
      </c>
      <c r="L27" s="265">
        <f t="shared" ref="L27:L28" si="16">IF($J$5&gt;2,K27,0)</f>
        <v>0</v>
      </c>
      <c r="M27" s="265">
        <f t="shared" ref="M27:M28" si="17">IF($J$5&gt;3,L27,0)</f>
        <v>0</v>
      </c>
      <c r="N27" s="265">
        <f t="shared" ref="N27:N28" si="18">IF($J$5&gt;4,M27,0)</f>
        <v>0</v>
      </c>
      <c r="O27" s="128">
        <f>IF(U29="A",IF($U$2&lt;&gt;0,IF(T29&gt;($U$2/12*9),($U$2/12*9),T29),T29),0)</f>
        <v>0</v>
      </c>
      <c r="P27" s="143"/>
      <c r="Q27" s="137" t="e">
        <f>((SUM(J25:N25)-SUM(J28:N28))/(CEILING($J$5*9,9)))*9</f>
        <v>#DIV/0!</v>
      </c>
      <c r="R27" s="12"/>
      <c r="S27" s="12"/>
      <c r="T27" s="78"/>
      <c r="U27" s="80"/>
      <c r="V27" s="80"/>
    </row>
    <row r="28" spans="1:22" outlineLevel="1" x14ac:dyDescent="0.25">
      <c r="A28" s="376"/>
      <c r="B28" s="47">
        <f>J28/3*O28</f>
        <v>0</v>
      </c>
      <c r="C28" s="47">
        <f>IF($J$5&gt;1,IF($U$2&lt;&gt;0,IF(O28*(1+$O$5)&lt;=$U$2*0.25,O28*K28/3*(1+$O$5),$U$2*0.25*K28/3),O28*K28/3*(1+$O$5)),0)</f>
        <v>0</v>
      </c>
      <c r="D28" s="47">
        <f>IF($J$5&gt;2,IF($U$2&lt;&gt;0,IF(O28*(1+$O$5)^2&lt;=$U$2*0.25,O28*L28/3*(1+$O$5)^2,$U$2*0.25*L28/3),O28*L28/3*(1+$O$5)^2),0)</f>
        <v>0</v>
      </c>
      <c r="E28" s="47">
        <f>IF($J$5&gt;3,IF($U$2&lt;&gt;0,IF(O28*(1+$O$5)^3&lt;=$U$2*0.25,O28*M28/3*(1+$O$5)^3,$U$2*0.25*M28/3),O28*M28/3*(1+$O$5)^3),0)</f>
        <v>0</v>
      </c>
      <c r="F28" s="47">
        <f>IF($J$5&gt;4,IF($U$2&lt;&gt;0,IF(O28*(1+$O$5)^4&lt;=$U$2*0.25,O28*N28/3*(1+$O$5)^4,$U$2*0.25*N28/3),O28*N28/3*(1+$O$5)^4),0)</f>
        <v>0</v>
      </c>
      <c r="G28" s="46">
        <f>SUM(B28:F28)</f>
        <v>0</v>
      </c>
      <c r="H28" s="14"/>
      <c r="I28" s="89" t="s">
        <v>17</v>
      </c>
      <c r="J28" s="266">
        <v>0</v>
      </c>
      <c r="K28" s="266">
        <f t="shared" si="15"/>
        <v>0</v>
      </c>
      <c r="L28" s="266">
        <f t="shared" si="16"/>
        <v>0</v>
      </c>
      <c r="M28" s="266">
        <f t="shared" si="17"/>
        <v>0</v>
      </c>
      <c r="N28" s="266">
        <f t="shared" si="18"/>
        <v>0</v>
      </c>
      <c r="O28" s="128">
        <f>IF(U29="A",IF($U$2&lt;&gt;0,IF(T29/9*3&gt;($U$2/12*3),($U$2/12*3),T29/9*3),T29/9*3),0)</f>
        <v>0</v>
      </c>
      <c r="P28" s="138"/>
      <c r="Q28" s="138" t="e">
        <f>((SUM(J25:N25)-SUM(J27:N27)*9)/(CEILING($J$5*3,3)))*3</f>
        <v>#DIV/0!</v>
      </c>
      <c r="R28" s="12"/>
      <c r="S28" s="12"/>
      <c r="T28" s="1"/>
      <c r="U28" s="80"/>
      <c r="V28" s="80"/>
    </row>
    <row r="29" spans="1:22" outlineLevel="1" x14ac:dyDescent="0.25">
      <c r="A29" s="18"/>
      <c r="B29" s="47"/>
      <c r="C29" s="47"/>
      <c r="D29" s="48"/>
      <c r="E29" s="48"/>
      <c r="F29" s="48"/>
      <c r="G29" s="49"/>
      <c r="H29" s="19"/>
      <c r="I29" s="89" t="s">
        <v>111</v>
      </c>
      <c r="J29" s="130">
        <f>SUM(B26:B28)*$V29</f>
        <v>0</v>
      </c>
      <c r="K29" s="130">
        <f t="shared" ref="K29:N29" si="19">SUM(C26:C28)*$V29</f>
        <v>0</v>
      </c>
      <c r="L29" s="130">
        <f t="shared" si="19"/>
        <v>0</v>
      </c>
      <c r="M29" s="130">
        <f t="shared" si="19"/>
        <v>0</v>
      </c>
      <c r="N29" s="130">
        <f t="shared" si="19"/>
        <v>0</v>
      </c>
      <c r="O29" s="129"/>
      <c r="P29" s="138"/>
      <c r="Q29" s="138"/>
      <c r="R29" s="12"/>
      <c r="S29" s="12"/>
      <c r="T29" s="311">
        <v>0</v>
      </c>
      <c r="U29" s="312"/>
      <c r="V29" s="131">
        <f>$J$79</f>
        <v>0</v>
      </c>
    </row>
    <row r="30" spans="1:22" outlineLevel="1" x14ac:dyDescent="0.25">
      <c r="A30" s="18"/>
      <c r="B30" s="47"/>
      <c r="C30" s="47"/>
      <c r="D30" s="48"/>
      <c r="E30" s="48"/>
      <c r="F30" s="48"/>
      <c r="G30" s="49"/>
      <c r="H30" s="19"/>
      <c r="I30" s="115"/>
      <c r="J30" s="79"/>
      <c r="K30" s="79"/>
      <c r="L30" s="79"/>
      <c r="M30" s="79"/>
      <c r="N30" s="79"/>
      <c r="O30" s="21"/>
      <c r="P30" s="138"/>
      <c r="Q30" s="138"/>
      <c r="R30" s="12"/>
      <c r="S30" s="12"/>
      <c r="T30" s="78"/>
      <c r="U30" s="80"/>
      <c r="V30" s="80"/>
    </row>
    <row r="31" spans="1:22" outlineLevel="1" x14ac:dyDescent="0.25">
      <c r="A31" s="22" t="s">
        <v>84</v>
      </c>
      <c r="B31" s="47"/>
      <c r="C31" s="48"/>
      <c r="D31" s="48"/>
      <c r="E31" s="48"/>
      <c r="F31" s="48"/>
      <c r="G31" s="46"/>
      <c r="I31" s="89" t="s">
        <v>132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1" t="s">
        <v>51</v>
      </c>
      <c r="P31" s="134" t="s">
        <v>130</v>
      </c>
      <c r="Q31" s="134" t="s">
        <v>131</v>
      </c>
      <c r="R31" s="11"/>
      <c r="S31" s="12"/>
      <c r="T31" s="78"/>
      <c r="U31" s="80"/>
      <c r="V31" s="80"/>
    </row>
    <row r="32" spans="1:22" outlineLevel="1" x14ac:dyDescent="0.25">
      <c r="A32" s="13" t="e">
        <f>ROUND(P32*100, 2)&amp;"% Avg. Fiscal Effort, "&amp;ROUND(Q32, 2)&amp;" Avg. Calendar Months"</f>
        <v>#DIV/0!</v>
      </c>
      <c r="B32" s="47">
        <f>O32*J32</f>
        <v>0</v>
      </c>
      <c r="C32" s="47">
        <f>IF($J$5&gt;1,IF($U$2&lt;&gt;0,IF(O32*(1+$O$5)&lt;=$U$2,O32*K32*(1+$O$5),$U$2*K32),O32*K32*(1+$O$5)),0)</f>
        <v>0</v>
      </c>
      <c r="D32" s="47">
        <f>IF($J$5&gt;2,IF($U$2&lt;&gt;0,IF(O32*(1+$O$5)^2&lt;=$U$2,O32*L32*(1+$O$5)^2,$U$2*L32),O32*L32*(1+$O$5)^2),0)</f>
        <v>0</v>
      </c>
      <c r="E32" s="47">
        <f>IF($J$5&gt;3,IF($U$2&lt;&gt;0,IF(O32*(1+$O$5)^3&lt;=$U$2,O32*M32*(1+$O$5)^3,$U$2*M32),O32*M32*(1+$O$5)^3),0)</f>
        <v>0</v>
      </c>
      <c r="F32" s="47">
        <f>IF($J$5&gt;4,IF($U$2&lt;&gt;0,IF(O32*(1+$O$5)^4&lt;=$U$2,O32*N32*(1+$O$5)^4,$U$2*N32),O32*N32*(1+$O$5)^4),0)</f>
        <v>0</v>
      </c>
      <c r="G32" s="46">
        <f>SUM(B32:F32)</f>
        <v>0</v>
      </c>
      <c r="H32" s="14"/>
      <c r="I32" s="89" t="s">
        <v>26</v>
      </c>
      <c r="J32" s="265">
        <v>0</v>
      </c>
      <c r="K32" s="265">
        <f>IF($J$5&gt;1,J32,0)</f>
        <v>0</v>
      </c>
      <c r="L32" s="265">
        <f>IF($J$5&gt;2,K32,0)</f>
        <v>0</v>
      </c>
      <c r="M32" s="265">
        <f>IF($J$5&gt;3,L32,0)</f>
        <v>0</v>
      </c>
      <c r="N32" s="265">
        <f>IF($J$5&gt;4,M32,0)</f>
        <v>0</v>
      </c>
      <c r="O32" s="128">
        <f>IF(U35="F",IF($U$2&lt;&gt;0,IF(T35&gt;$U$2,$U$2,T35),T35),0)</f>
        <v>0</v>
      </c>
      <c r="P32" s="135" t="e">
        <f>SUM(J31:N31)/(ROUNDUP($J$5,0)*12)</f>
        <v>#DIV/0!</v>
      </c>
      <c r="Q32" s="136" t="e">
        <f>(SUM(J31:N31)/(CEILING($J$5*12,12)))*12</f>
        <v>#DIV/0!</v>
      </c>
      <c r="R32" s="1"/>
      <c r="S32" s="1"/>
      <c r="T32" s="78"/>
      <c r="U32" s="80"/>
      <c r="V32" s="80"/>
    </row>
    <row r="33" spans="1:22" outlineLevel="1" x14ac:dyDescent="0.25">
      <c r="A33" s="376" t="e">
        <f>ROUND(P32*100,2)&amp;"% Annualized Effort, "&amp;ROUND(Q33,2)&amp;" Avg. Academic Months
"&amp;IF(SUM(J34:N34)&gt;0," and "&amp;Q34 &amp;" Avg. Summer Months", "")</f>
        <v>#DIV/0!</v>
      </c>
      <c r="B33" s="47">
        <f>J33*O33</f>
        <v>0</v>
      </c>
      <c r="C33" s="47">
        <f>IF($J$5&gt;1,IF($U$2&lt;&gt;0,IF(O33*(1+$O$5)&lt;=$U$2*0.75,O33*K33*(1+$O$5),$U$2*0.75*K33),O33*K33*(1+$O$5)),0)</f>
        <v>0</v>
      </c>
      <c r="D33" s="47">
        <f>IF($J$5&gt;2,IF($U$2&lt;&gt;0,IF(O33*(1+$O$5)^2&lt;=$U$2*0.75,O33*L33*(1+$O$5)^2,$U$2*0.75*L33),O33*L33*(1+$O$5)^2),0)</f>
        <v>0</v>
      </c>
      <c r="E33" s="47">
        <f>IF($J$5&gt;3,IF($U$2&lt;&gt;0,IF(O33*(1+$O$5)^3&lt;=$U$2*0.75,O33*M33*(1+$O$5)^3,$U$2*0.75*M33),O33*M33*(1+$O$5)^3),0)</f>
        <v>0</v>
      </c>
      <c r="F33" s="47">
        <f>IF($J$5&gt;4,IF($U$2&lt;&gt;0,IF(O33*(1+$O$5)^4&lt;=$U$2*0.75,O33*N33*(1+$O$5)^4,$U$2*0.75*N33),O33*N33*(1+$O$5)^4),0)</f>
        <v>0</v>
      </c>
      <c r="G33" s="46">
        <f>SUM(B33:F33)</f>
        <v>0</v>
      </c>
      <c r="H33" s="14"/>
      <c r="I33" s="89" t="s">
        <v>15</v>
      </c>
      <c r="J33" s="265">
        <v>0</v>
      </c>
      <c r="K33" s="265">
        <f t="shared" ref="K33:K34" si="20">IF($J$5&gt;1,J33,0)</f>
        <v>0</v>
      </c>
      <c r="L33" s="265">
        <f t="shared" ref="L33:L34" si="21">IF($J$5&gt;2,K33,0)</f>
        <v>0</v>
      </c>
      <c r="M33" s="265">
        <f t="shared" ref="M33:M34" si="22">IF($J$5&gt;3,L33,0)</f>
        <v>0</v>
      </c>
      <c r="N33" s="265">
        <f t="shared" ref="N33:N34" si="23">IF($J$5&gt;4,M33,0)</f>
        <v>0</v>
      </c>
      <c r="O33" s="128">
        <f>IF(U35="A",IF($U$2&lt;&gt;0,IF(T35&gt;($U$2/12*9),($U$2/12*9),T35),T35),0)</f>
        <v>0</v>
      </c>
      <c r="P33" s="143"/>
      <c r="Q33" s="137" t="e">
        <f>((SUM(J31:N31)-SUM(J34:N34))/(CEILING($J$5*9,9)))*9</f>
        <v>#DIV/0!</v>
      </c>
      <c r="R33" s="12"/>
      <c r="S33" s="12"/>
      <c r="T33" s="78"/>
      <c r="U33" s="80"/>
      <c r="V33" s="80"/>
    </row>
    <row r="34" spans="1:22" outlineLevel="1" x14ac:dyDescent="0.25">
      <c r="A34" s="376"/>
      <c r="B34" s="47">
        <f>J34/3*O34</f>
        <v>0</v>
      </c>
      <c r="C34" s="47">
        <f>IF($J$5&gt;1,IF($U$2&lt;&gt;0,IF(O34*(1+$O$5)&lt;=$U$2*0.25,O34*K34/3*(1+$O$5),$U$2*0.25*K34/3),O34*K34/3*(1+$O$5)),0)</f>
        <v>0</v>
      </c>
      <c r="D34" s="47">
        <f>IF($J$5&gt;2,IF($U$2&lt;&gt;0,IF(O34*(1+$O$5)^2&lt;=$U$2*0.25,O34*L34/3*(1+$O$5)^2,$U$2*0.25*L34/3),O34*L34/3*(1+$O$5)^2),0)</f>
        <v>0</v>
      </c>
      <c r="E34" s="47">
        <f>IF($J$5&gt;3,IF($U$2&lt;&gt;0,IF(O34*(1+$O$5)^3&lt;=$U$2*0.25,O34*M34/3*(1+$O$5)^3,$U$2*0.25*M34/3),O34*M34/3*(1+$O$5)^3),0)</f>
        <v>0</v>
      </c>
      <c r="F34" s="47">
        <f>IF($J$5&gt;4,IF($U$2&lt;&gt;0,IF(O34*(1+$O$5)^4&lt;=$U$2*0.25,O34*N34/3*(1+$O$5)^4,$U$2*0.25*N34/3),O34*N34/3*(1+$O$5)^4),0)</f>
        <v>0</v>
      </c>
      <c r="G34" s="46">
        <f>SUM(B34:F34)</f>
        <v>0</v>
      </c>
      <c r="H34" s="14"/>
      <c r="I34" s="89" t="s">
        <v>17</v>
      </c>
      <c r="J34" s="266">
        <v>0</v>
      </c>
      <c r="K34" s="266">
        <f t="shared" si="20"/>
        <v>0</v>
      </c>
      <c r="L34" s="266">
        <f t="shared" si="21"/>
        <v>0</v>
      </c>
      <c r="M34" s="266">
        <f t="shared" si="22"/>
        <v>0</v>
      </c>
      <c r="N34" s="266">
        <f t="shared" si="23"/>
        <v>0</v>
      </c>
      <c r="O34" s="128">
        <f>IF(U35="A",IF($U$2&lt;&gt;0,IF(T35/9*3&gt;($U$2/12*3),($U$2/12*3),T35/9*3),T35/9*3),0)</f>
        <v>0</v>
      </c>
      <c r="P34" s="138"/>
      <c r="Q34" s="138" t="e">
        <f>((SUM(J31:N31)-SUM(J33:N33)*9)/(CEILING($J$5*3,3)))*3</f>
        <v>#DIV/0!</v>
      </c>
      <c r="R34" s="12"/>
      <c r="S34" s="12"/>
      <c r="T34" s="1"/>
      <c r="U34" s="80"/>
      <c r="V34" s="80"/>
    </row>
    <row r="35" spans="1:22" outlineLevel="1" x14ac:dyDescent="0.25">
      <c r="A35" s="18"/>
      <c r="B35" s="47"/>
      <c r="C35" s="47"/>
      <c r="D35" s="48"/>
      <c r="E35" s="48"/>
      <c r="F35" s="48"/>
      <c r="G35" s="49"/>
      <c r="H35" s="19"/>
      <c r="I35" s="89" t="s">
        <v>111</v>
      </c>
      <c r="J35" s="130">
        <f>SUM(B32:B34)*$V35</f>
        <v>0</v>
      </c>
      <c r="K35" s="130">
        <f t="shared" ref="K35:N35" si="24">SUM(C32:C34)*$V35</f>
        <v>0</v>
      </c>
      <c r="L35" s="130">
        <f t="shared" si="24"/>
        <v>0</v>
      </c>
      <c r="M35" s="130">
        <f t="shared" si="24"/>
        <v>0</v>
      </c>
      <c r="N35" s="130">
        <f t="shared" si="24"/>
        <v>0</v>
      </c>
      <c r="O35" s="129"/>
      <c r="P35" s="138"/>
      <c r="Q35" s="138"/>
      <c r="R35" s="12"/>
      <c r="S35" s="12"/>
      <c r="T35" s="311">
        <v>0</v>
      </c>
      <c r="U35" s="312"/>
      <c r="V35" s="131">
        <f>$J$79</f>
        <v>0</v>
      </c>
    </row>
    <row r="36" spans="1:22" outlineLevel="1" x14ac:dyDescent="0.25">
      <c r="A36" s="18"/>
      <c r="B36" s="47"/>
      <c r="C36" s="47"/>
      <c r="D36" s="48"/>
      <c r="E36" s="48"/>
      <c r="F36" s="48"/>
      <c r="G36" s="49"/>
      <c r="H36" s="19"/>
      <c r="I36" s="115"/>
      <c r="J36" s="79"/>
      <c r="K36" s="79"/>
      <c r="L36" s="79"/>
      <c r="M36" s="79"/>
      <c r="N36" s="79"/>
      <c r="O36" s="21"/>
      <c r="P36" s="138"/>
      <c r="Q36" s="138"/>
      <c r="R36" s="12"/>
      <c r="S36" s="12"/>
      <c r="T36" s="78"/>
      <c r="U36" s="80"/>
      <c r="V36" s="80"/>
    </row>
    <row r="37" spans="1:22" outlineLevel="1" x14ac:dyDescent="0.25">
      <c r="A37" s="22" t="s">
        <v>84</v>
      </c>
      <c r="B37" s="47"/>
      <c r="C37" s="48"/>
      <c r="D37" s="48"/>
      <c r="E37" s="48"/>
      <c r="F37" s="48"/>
      <c r="G37" s="46"/>
      <c r="I37" s="89" t="s">
        <v>132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1" t="s">
        <v>51</v>
      </c>
      <c r="P37" s="134" t="s">
        <v>130</v>
      </c>
      <c r="Q37" s="134" t="s">
        <v>131</v>
      </c>
      <c r="R37" s="11"/>
      <c r="S37" s="12"/>
      <c r="T37" s="78"/>
      <c r="U37" s="80"/>
      <c r="V37" s="80"/>
    </row>
    <row r="38" spans="1:22" outlineLevel="1" x14ac:dyDescent="0.25">
      <c r="A38" s="13" t="e">
        <f>ROUND(P38*100, 2)&amp;"% Avg. Fiscal Effort, "&amp;ROUND(Q38, 2)&amp;" Avg. Calendar Months"</f>
        <v>#DIV/0!</v>
      </c>
      <c r="B38" s="47">
        <f>O38*J38</f>
        <v>0</v>
      </c>
      <c r="C38" s="47">
        <f>IF($J$5&gt;1,IF($U$2&lt;&gt;0,IF(O38*(1+$O$5)&lt;=$U$2,O38*K38*(1+$O$5),$U$2*K38),O38*K38*(1+$O$5)),0)</f>
        <v>0</v>
      </c>
      <c r="D38" s="47">
        <f>IF($J$5&gt;2,IF($U$2&lt;&gt;0,IF(O38*(1+$O$5)^2&lt;=$U$2,O38*L38*(1+$O$5)^2,$U$2*L38),O38*L38*(1+$O$5)^2),0)</f>
        <v>0</v>
      </c>
      <c r="E38" s="47">
        <f>IF($J$5&gt;3,IF($U$2&lt;&gt;0,IF(O38*(1+$O$5)^3&lt;=$U$2,O38*M38*(1+$O$5)^3,$U$2*M38),O38*M38*(1+$O$5)^3),0)</f>
        <v>0</v>
      </c>
      <c r="F38" s="47">
        <f>IF($J$5&gt;4,IF($U$2&lt;&gt;0,IF(O38*(1+$O$5)^4&lt;=$U$2,O38*N38*(1+$O$5)^4,$U$2*N38),O38*N38*(1+$O$5)^4),0)</f>
        <v>0</v>
      </c>
      <c r="G38" s="46">
        <f>SUM(B38:F38)</f>
        <v>0</v>
      </c>
      <c r="H38" s="14"/>
      <c r="I38" s="89" t="s">
        <v>26</v>
      </c>
      <c r="J38" s="265">
        <v>0</v>
      </c>
      <c r="K38" s="265">
        <f>IF($J$5&gt;1,J38,0)</f>
        <v>0</v>
      </c>
      <c r="L38" s="265">
        <f>IF($J$5&gt;2,K38,0)</f>
        <v>0</v>
      </c>
      <c r="M38" s="265">
        <f>IF($J$5&gt;3,L38,0)</f>
        <v>0</v>
      </c>
      <c r="N38" s="265">
        <f>IF($J$5&gt;4,M38,0)</f>
        <v>0</v>
      </c>
      <c r="O38" s="128">
        <f>IF(U41="F",IF($U$2&lt;&gt;0,IF(T41&gt;$U$2,$U$2,T41),T41),0)</f>
        <v>0</v>
      </c>
      <c r="P38" s="135" t="e">
        <f>SUM(J37:N37)/(ROUNDUP($J$5,0)*12)</f>
        <v>#DIV/0!</v>
      </c>
      <c r="Q38" s="136" t="e">
        <f>(SUM(J37:N37)/(CEILING($J$5*12,12)))*12</f>
        <v>#DIV/0!</v>
      </c>
      <c r="R38" s="1"/>
      <c r="S38" s="1"/>
      <c r="T38" s="78"/>
      <c r="U38" s="80"/>
      <c r="V38" s="80"/>
    </row>
    <row r="39" spans="1:22" ht="15.75" customHeight="1" outlineLevel="1" x14ac:dyDescent="0.25">
      <c r="A39" s="376" t="e">
        <f>ROUND(P38*100,2)&amp;"% Annualized Effort, "&amp;ROUND(Q39,2)&amp;" Avg. Academic Months
"&amp;IF(SUM(J40:N40)&gt;0," and "&amp;Q40 &amp;" Avg. Summer Months", "")</f>
        <v>#DIV/0!</v>
      </c>
      <c r="B39" s="47">
        <f>J39*O39</f>
        <v>0</v>
      </c>
      <c r="C39" s="47">
        <f>IF($J$5&gt;1,IF($U$2&lt;&gt;0,IF(O39*(1+$O$5)&lt;=$U$2*0.75,O39*K39*(1+$O$5),$U$2*0.75*K39),O39*K39*(1+$O$5)),0)</f>
        <v>0</v>
      </c>
      <c r="D39" s="47">
        <f>IF($J$5&gt;2,IF($U$2&lt;&gt;0,IF(O39*(1+$O$5)^2&lt;=$U$2*0.75,O39*L39*(1+$O$5)^2,$U$2*0.75*L39),O39*L39*(1+$O$5)^2),0)</f>
        <v>0</v>
      </c>
      <c r="E39" s="47">
        <f>IF($J$5&gt;3,IF($U$2&lt;&gt;0,IF(O39*(1+$O$5)^3&lt;=$U$2*0.75,O39*M39*(1+$O$5)^3,$U$2*0.75*M39),O39*M39*(1+$O$5)^3),0)</f>
        <v>0</v>
      </c>
      <c r="F39" s="47">
        <f>IF($J$5&gt;4,IF($U$2&lt;&gt;0,IF(O39*(1+$O$5)^4&lt;=$U$2*0.75,O39*N39*(1+$O$5)^4,$U$2*0.75*N39),O39*N39*(1+$O$5)^4),0)</f>
        <v>0</v>
      </c>
      <c r="G39" s="46">
        <f>SUM(B39:F39)</f>
        <v>0</v>
      </c>
      <c r="H39" s="14"/>
      <c r="I39" s="89" t="s">
        <v>15</v>
      </c>
      <c r="J39" s="265">
        <v>0</v>
      </c>
      <c r="K39" s="265">
        <f t="shared" ref="K39:K40" si="25">IF($J$5&gt;1,J39,0)</f>
        <v>0</v>
      </c>
      <c r="L39" s="265">
        <f t="shared" ref="L39:L40" si="26">IF($J$5&gt;2,K39,0)</f>
        <v>0</v>
      </c>
      <c r="M39" s="265">
        <f t="shared" ref="M39:M40" si="27">IF($J$5&gt;3,L39,0)</f>
        <v>0</v>
      </c>
      <c r="N39" s="265">
        <f t="shared" ref="N39:N40" si="28">IF($J$5&gt;4,M39,0)</f>
        <v>0</v>
      </c>
      <c r="O39" s="128">
        <f>IF(U41="A",IF($U$2&lt;&gt;0,IF(T41&gt;($U$2/12*9),($U$2/12*9),T41),T41),0)</f>
        <v>0</v>
      </c>
      <c r="P39" s="143"/>
      <c r="Q39" s="137" t="e">
        <f>((SUM(J37:N37)-SUM(J40:N40))/(CEILING($J$5*9,9)))*9</f>
        <v>#DIV/0!</v>
      </c>
      <c r="R39" s="12"/>
      <c r="S39" s="12"/>
      <c r="T39" s="78"/>
      <c r="U39" s="80"/>
      <c r="V39" s="80"/>
    </row>
    <row r="40" spans="1:22" outlineLevel="1" x14ac:dyDescent="0.25">
      <c r="A40" s="376"/>
      <c r="B40" s="47">
        <f>J40/3*O40</f>
        <v>0</v>
      </c>
      <c r="C40" s="47">
        <f>IF($J$5&gt;1,IF($U$2&lt;&gt;0,IF(O40*(1+$O$5)&lt;=$U$2*0.25,O40*K40/3*(1+$O$5),$U$2*0.25*K40/3),O40*K40/3*(1+$O$5)),0)</f>
        <v>0</v>
      </c>
      <c r="D40" s="47">
        <f>IF($J$5&gt;2,IF($U$2&lt;&gt;0,IF(O40*(1+$O$5)^2&lt;=$U$2*0.25,O40*L40/3*(1+$O$5)^2,$U$2*0.25*L40/3),O40*L40/3*(1+$O$5)^2),0)</f>
        <v>0</v>
      </c>
      <c r="E40" s="47">
        <f>IF($J$5&gt;3,IF($U$2&lt;&gt;0,IF(O40*(1+$O$5)^3&lt;=$U$2*0.25,O40*M40/3*(1+$O$5)^3,$U$2*0.25*M40/3),O40*M40/3*(1+$O$5)^3),0)</f>
        <v>0</v>
      </c>
      <c r="F40" s="47">
        <f>IF($J$5&gt;4,IF($U$2&lt;&gt;0,IF(O40*(1+$O$5)^4&lt;=$U$2*0.25,O40*N40/3*(1+$O$5)^4,$U$2*0.25*N40/3),O40*N40/3*(1+$O$5)^4),0)</f>
        <v>0</v>
      </c>
      <c r="G40" s="46">
        <f>SUM(B40:F40)</f>
        <v>0</v>
      </c>
      <c r="H40" s="14"/>
      <c r="I40" s="89" t="s">
        <v>17</v>
      </c>
      <c r="J40" s="266">
        <v>0</v>
      </c>
      <c r="K40" s="266">
        <f t="shared" si="25"/>
        <v>0</v>
      </c>
      <c r="L40" s="266">
        <f t="shared" si="26"/>
        <v>0</v>
      </c>
      <c r="M40" s="266">
        <f t="shared" si="27"/>
        <v>0</v>
      </c>
      <c r="N40" s="266">
        <f t="shared" si="28"/>
        <v>0</v>
      </c>
      <c r="O40" s="128">
        <f>IF(U41="A",IF($U$2&lt;&gt;0,IF(T41/9*3&gt;($U$2/12*3),($U$2/12*3),T41/9*3),T41/9*3),0)</f>
        <v>0</v>
      </c>
      <c r="P40" s="138"/>
      <c r="Q40" s="138" t="e">
        <f>((SUM(J37:N37)-SUM(J39:N39)*9)/(CEILING($J$5*3,3)))*3</f>
        <v>#DIV/0!</v>
      </c>
      <c r="R40" s="12"/>
      <c r="S40" s="12"/>
      <c r="T40" s="1"/>
      <c r="U40" s="80"/>
      <c r="V40" s="80"/>
    </row>
    <row r="41" spans="1:22" outlineLevel="1" x14ac:dyDescent="0.25">
      <c r="A41" s="18"/>
      <c r="B41" s="47"/>
      <c r="C41" s="47"/>
      <c r="D41" s="48"/>
      <c r="E41" s="48"/>
      <c r="F41" s="48"/>
      <c r="G41" s="49"/>
      <c r="H41" s="19"/>
      <c r="I41" s="89" t="s">
        <v>111</v>
      </c>
      <c r="J41" s="130">
        <f>SUM(B38:B40)*$V41</f>
        <v>0</v>
      </c>
      <c r="K41" s="130">
        <f t="shared" ref="K41:N41" si="29">SUM(C38:C40)*$V41</f>
        <v>0</v>
      </c>
      <c r="L41" s="130">
        <f t="shared" si="29"/>
        <v>0</v>
      </c>
      <c r="M41" s="130">
        <f t="shared" si="29"/>
        <v>0</v>
      </c>
      <c r="N41" s="130">
        <f t="shared" si="29"/>
        <v>0</v>
      </c>
      <c r="O41" s="129"/>
      <c r="P41" s="138"/>
      <c r="Q41" s="138"/>
      <c r="R41" s="12"/>
      <c r="S41" s="12"/>
      <c r="T41" s="311">
        <v>0</v>
      </c>
      <c r="U41" s="312"/>
      <c r="V41" s="131">
        <f>$J$79</f>
        <v>0</v>
      </c>
    </row>
    <row r="42" spans="1:22" outlineLevel="1" x14ac:dyDescent="0.25">
      <c r="A42" s="18"/>
      <c r="B42" s="47"/>
      <c r="C42" s="47"/>
      <c r="D42" s="48"/>
      <c r="E42" s="48"/>
      <c r="F42" s="48"/>
      <c r="G42" s="49"/>
      <c r="H42" s="19"/>
      <c r="I42" s="115"/>
      <c r="J42" s="79"/>
      <c r="K42" s="79"/>
      <c r="L42" s="79"/>
      <c r="M42" s="79"/>
      <c r="N42" s="79"/>
      <c r="O42" s="21"/>
      <c r="P42" s="138"/>
      <c r="Q42" s="138"/>
      <c r="R42" s="12"/>
      <c r="S42" s="12"/>
      <c r="T42" s="78"/>
      <c r="U42" s="80"/>
      <c r="V42" s="80"/>
    </row>
    <row r="43" spans="1:22" outlineLevel="1" x14ac:dyDescent="0.25">
      <c r="A43" s="13"/>
      <c r="B43" s="47"/>
      <c r="C43" s="47"/>
      <c r="D43" s="47"/>
      <c r="E43" s="47"/>
      <c r="F43" s="47"/>
      <c r="G43" s="46"/>
      <c r="H43" s="14"/>
      <c r="I43" s="34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85" t="s">
        <v>51</v>
      </c>
      <c r="P43" s="135"/>
      <c r="Q43" s="135"/>
      <c r="R43" s="1"/>
      <c r="S43" s="1"/>
      <c r="T43" s="1"/>
      <c r="U43" s="78"/>
      <c r="V43" s="80"/>
    </row>
    <row r="44" spans="1:22" outlineLevel="1" x14ac:dyDescent="0.25">
      <c r="A44" s="22" t="str">
        <f>"TBN, Post-doc ("&amp;J44&amp;")"</f>
        <v>TBN, Post-doc ()</v>
      </c>
      <c r="B44" s="47"/>
      <c r="C44" s="47"/>
      <c r="D44" s="48"/>
      <c r="E44" s="48"/>
      <c r="F44" s="48"/>
      <c r="G44" s="46"/>
      <c r="H44" s="14"/>
      <c r="I44" s="89" t="s">
        <v>16</v>
      </c>
      <c r="J44" s="314"/>
      <c r="K44" s="116"/>
      <c r="L44" s="116"/>
      <c r="M44" s="116"/>
      <c r="N44" s="116"/>
      <c r="O44" s="313"/>
      <c r="P44" s="135"/>
      <c r="Q44" s="135"/>
      <c r="R44" s="1"/>
      <c r="S44" s="1"/>
      <c r="T44" s="1"/>
      <c r="U44" s="80"/>
      <c r="V44" s="80"/>
    </row>
    <row r="45" spans="1:22" outlineLevel="1" x14ac:dyDescent="0.25">
      <c r="A45" s="13" t="str">
        <f>ROUND(J45*100,2)&amp;"% FY Effort, "&amp;ROUND(J45*12,2)&amp;" Calendar Months"</f>
        <v>0% FY Effort, 0 Calendar Months</v>
      </c>
      <c r="B45" s="47">
        <f>J44*O44*J45</f>
        <v>0</v>
      </c>
      <c r="C45" s="47">
        <f>IF($J$5&gt;1, O44*K45*(1+$O$5), 0)</f>
        <v>0</v>
      </c>
      <c r="D45" s="47">
        <f>IF($J$5&gt;2, O44*L45*(1+$O$5)^2, 0)</f>
        <v>0</v>
      </c>
      <c r="E45" s="47">
        <f>IF($J$5&gt;3, O44*M45*(1+$O$5)^3, 0)</f>
        <v>0</v>
      </c>
      <c r="F45" s="47">
        <f>IF($J$5&gt;4, O44*N45*(1+$O$5)^4, 0)</f>
        <v>0</v>
      </c>
      <c r="G45" s="46">
        <f>SUM(B45:F45)</f>
        <v>0</v>
      </c>
      <c r="H45" s="14"/>
      <c r="I45" s="90" t="s">
        <v>26</v>
      </c>
      <c r="J45" s="315">
        <v>0</v>
      </c>
      <c r="K45" s="315">
        <f>IF($J$5&gt;1,J45,0)</f>
        <v>0</v>
      </c>
      <c r="L45" s="315">
        <f>IF($J$5&gt;2,K45,0)</f>
        <v>0</v>
      </c>
      <c r="M45" s="315">
        <f>IF($J$5&gt;3,L45,0)</f>
        <v>0</v>
      </c>
      <c r="N45" s="315">
        <f>IF($J$5&gt;4,M45,0)</f>
        <v>0</v>
      </c>
      <c r="O45" s="21"/>
      <c r="P45" s="135"/>
      <c r="Q45" s="135"/>
      <c r="R45" s="1"/>
      <c r="S45" s="1"/>
      <c r="T45" s="1"/>
      <c r="U45" s="80"/>
      <c r="V45" s="80"/>
    </row>
    <row r="46" spans="1:22" outlineLevel="1" x14ac:dyDescent="0.25">
      <c r="A46" s="13"/>
      <c r="B46" s="47"/>
      <c r="C46" s="47"/>
      <c r="D46" s="48"/>
      <c r="E46" s="48"/>
      <c r="F46" s="48"/>
      <c r="G46" s="46"/>
      <c r="H46" s="14"/>
      <c r="I46" s="4"/>
      <c r="O46" s="41" t="s">
        <v>51</v>
      </c>
      <c r="P46" s="135"/>
      <c r="Q46" s="135"/>
      <c r="R46" s="1"/>
      <c r="S46" s="1"/>
      <c r="T46" s="1"/>
      <c r="U46" s="80"/>
      <c r="V46" s="80"/>
    </row>
    <row r="47" spans="1:22" outlineLevel="1" x14ac:dyDescent="0.25">
      <c r="A47" s="22" t="str">
        <f>"TBN, Post-doc ("&amp;J47&amp;")"</f>
        <v>TBN, Post-doc ()</v>
      </c>
      <c r="B47" s="47"/>
      <c r="C47" s="47"/>
      <c r="D47" s="48"/>
      <c r="E47" s="48"/>
      <c r="F47" s="48"/>
      <c r="G47" s="46"/>
      <c r="H47" s="14"/>
      <c r="I47" s="89" t="s">
        <v>16</v>
      </c>
      <c r="J47" s="314"/>
      <c r="K47" s="116"/>
      <c r="L47" s="116"/>
      <c r="M47" s="116"/>
      <c r="N47" s="116"/>
      <c r="O47" s="313"/>
      <c r="P47" s="135"/>
      <c r="Q47" s="135"/>
      <c r="R47" s="1"/>
      <c r="S47" s="1"/>
      <c r="T47" s="1"/>
      <c r="U47" s="80"/>
      <c r="V47" s="80"/>
    </row>
    <row r="48" spans="1:22" outlineLevel="1" x14ac:dyDescent="0.25">
      <c r="A48" s="13" t="str">
        <f>ROUND(J48*100,2)&amp;"% FY Effort, "&amp;ROUND(J48*12,2)&amp;" Calendar Months"</f>
        <v>0% FY Effort, 0 Calendar Months</v>
      </c>
      <c r="B48" s="47">
        <f>J47*O47*J48</f>
        <v>0</v>
      </c>
      <c r="C48" s="47">
        <f>IF($J$5&gt;1, O47*K48*(1+$O$5), 0)</f>
        <v>0</v>
      </c>
      <c r="D48" s="47">
        <f>IF($J$5&gt;2, O47*L48*(1+$O$5)^2, 0)</f>
        <v>0</v>
      </c>
      <c r="E48" s="47">
        <f>IF($J$5&gt;3, O47*M48*(1+$O$5)^3, 0)</f>
        <v>0</v>
      </c>
      <c r="F48" s="47">
        <f>IF($J$5&gt;4, O47*N48*(1+$O$5)^4, 0)</f>
        <v>0</v>
      </c>
      <c r="G48" s="46">
        <f>SUM(B48:F48)</f>
        <v>0</v>
      </c>
      <c r="H48" s="14"/>
      <c r="I48" s="90" t="s">
        <v>26</v>
      </c>
      <c r="J48" s="315">
        <v>0</v>
      </c>
      <c r="K48" s="315">
        <f>IF($J$5&gt;1,J48,0)</f>
        <v>0</v>
      </c>
      <c r="L48" s="315">
        <f>IF($J$5&gt;2,K48,0)</f>
        <v>0</v>
      </c>
      <c r="M48" s="315">
        <f>IF($J$5&gt;3,L48,0)</f>
        <v>0</v>
      </c>
      <c r="N48" s="315">
        <f>IF($J$5&gt;4,M48,0)</f>
        <v>0</v>
      </c>
      <c r="O48" s="21"/>
      <c r="P48" s="135"/>
      <c r="Q48" s="135"/>
      <c r="R48" s="1"/>
      <c r="S48" s="1"/>
      <c r="T48" s="1"/>
      <c r="U48" s="80"/>
      <c r="V48" s="80"/>
    </row>
    <row r="49" spans="1:22" outlineLevel="1" x14ac:dyDescent="0.25">
      <c r="A49" s="13"/>
      <c r="B49" s="47"/>
      <c r="C49" s="47"/>
      <c r="D49" s="47"/>
      <c r="E49" s="47"/>
      <c r="F49" s="47"/>
      <c r="G49" s="46"/>
      <c r="H49" s="14"/>
      <c r="I49" s="4"/>
      <c r="O49" s="41" t="s">
        <v>51</v>
      </c>
      <c r="P49" s="135"/>
      <c r="Q49" s="135"/>
      <c r="R49" s="1"/>
      <c r="S49" s="1"/>
      <c r="T49" s="1"/>
      <c r="U49" s="80"/>
      <c r="V49" s="80"/>
    </row>
    <row r="50" spans="1:22" outlineLevel="1" x14ac:dyDescent="0.25">
      <c r="A50" s="22" t="str">
        <f>"TBN, Post-doc ("&amp;J50&amp;")"</f>
        <v>TBN, Post-doc ()</v>
      </c>
      <c r="B50" s="47"/>
      <c r="C50" s="47"/>
      <c r="D50" s="47"/>
      <c r="E50" s="47"/>
      <c r="F50" s="47"/>
      <c r="G50" s="46"/>
      <c r="H50" s="14"/>
      <c r="I50" s="89" t="s">
        <v>16</v>
      </c>
      <c r="J50" s="314"/>
      <c r="K50" s="116"/>
      <c r="L50" s="116"/>
      <c r="M50" s="116"/>
      <c r="N50" s="116"/>
      <c r="O50" s="313"/>
      <c r="P50" s="135"/>
      <c r="Q50" s="135"/>
      <c r="R50" s="1"/>
      <c r="S50" s="1"/>
      <c r="T50" s="1"/>
      <c r="U50" s="80"/>
      <c r="V50" s="80"/>
    </row>
    <row r="51" spans="1:22" outlineLevel="1" x14ac:dyDescent="0.25">
      <c r="A51" s="13" t="str">
        <f>ROUND(J51*100,2)&amp;"% FY Effort, "&amp;ROUND(J51*12,2)&amp;" Calendar Months"</f>
        <v>0% FY Effort, 0 Calendar Months</v>
      </c>
      <c r="B51" s="47">
        <f>J50*O50*J51</f>
        <v>0</v>
      </c>
      <c r="C51" s="47">
        <f>IF($J$5&gt;1, O50*K51*(1+$O$5), 0)</f>
        <v>0</v>
      </c>
      <c r="D51" s="47">
        <f>IF($J$5&gt;2, O50*L51*(1+$O$5)^2, 0)</f>
        <v>0</v>
      </c>
      <c r="E51" s="47">
        <f>IF($J$5&gt;3, O50*M51*(1+$O$5)^3, 0)</f>
        <v>0</v>
      </c>
      <c r="F51" s="47">
        <f>IF($J$5&gt;4, O50*N51*(1+$O$5)^4, 0)</f>
        <v>0</v>
      </c>
      <c r="G51" s="46">
        <f>SUM(B51:F51)</f>
        <v>0</v>
      </c>
      <c r="H51" s="14"/>
      <c r="I51" s="90" t="s">
        <v>26</v>
      </c>
      <c r="J51" s="315">
        <v>0</v>
      </c>
      <c r="K51" s="315">
        <f>IF($J$5&gt;1,J51,0)</f>
        <v>0</v>
      </c>
      <c r="L51" s="315">
        <f>IF($J$5&gt;2,K51,0)</f>
        <v>0</v>
      </c>
      <c r="M51" s="315">
        <f>IF($J$5&gt;3,L51,0)</f>
        <v>0</v>
      </c>
      <c r="N51" s="315">
        <f>IF($J$5&gt;4,M51,0)</f>
        <v>0</v>
      </c>
      <c r="O51" s="21"/>
      <c r="P51" s="135"/>
      <c r="Q51" s="135"/>
      <c r="R51" s="1"/>
      <c r="S51" s="1"/>
      <c r="T51" s="1"/>
      <c r="U51" s="80"/>
      <c r="V51" s="80"/>
    </row>
    <row r="52" spans="1:22" outlineLevel="1" x14ac:dyDescent="0.25">
      <c r="B52" s="47"/>
      <c r="C52" s="47"/>
      <c r="D52" s="48"/>
      <c r="E52" s="48"/>
      <c r="F52" s="48"/>
      <c r="G52" s="46"/>
      <c r="H52" s="14"/>
      <c r="I52" s="45" t="s">
        <v>48</v>
      </c>
      <c r="J52" s="88" t="b">
        <f>IF(J54&gt;0%,IF(J54&lt;50%,IF(J54&gt;0,($U$3/2),0),$U$3),IF(J55&gt;0%,IF(J55&lt;50%,IF(J55&gt;0,($U$3/2),0),$U$3)))</f>
        <v>0</v>
      </c>
      <c r="K52" s="88" t="b">
        <f>IF(K54&gt;0%,IF(K54&lt;50%,IF(K54&gt;0,(($U$3*(1+$V$3))/2),0),($U$3*(1+$V$3))),IF(K55&gt;0%,IF(K55&lt;50%,IF(K55&gt;0,(($U$3*(1+$V$3))/2),0),($U$3*(1+$V$3)))))</f>
        <v>0</v>
      </c>
      <c r="L52" s="88" t="b">
        <f>IF(L54&gt;0%,IF(L54&lt;50%,IF(L54&gt;0,(($U$3*(1+$V$3)^2)/2),0),($U$3*(1+$V$3)^2)),IF(L55&gt;0%,IF(L55&lt;50%,IF(L55&gt;0,(($U$3*(1+$V$3)^2)/2),0),($U$3*(1+$V$3)^2))))</f>
        <v>0</v>
      </c>
      <c r="M52" s="88" t="b">
        <f>IF(M54&gt;0%,IF(M54&lt;50%,IF(M54&gt;0,(($U$3*(1+$V$3)^3)/2),0),($U$3*(1+$V$3)^3)),IF(M55&gt;0%,IF(M55&lt;50%,IF(M55&gt;0,(($U$3*(1+$V$3)^3)/2),0),($U$3*(1+$V$3)^3))))</f>
        <v>0</v>
      </c>
      <c r="N52" s="88" t="b">
        <f>IF(N54&gt;0%,IF(N54&lt;50%,IF(N54&gt;0,(($U$3*(1+$V$3)^4)/2),0),($U$3*(1+$V$3)^4)),IF(N55&gt;0%,IF(N55&lt;50%,IF(N55&gt;0,(($U$3*(1+$V$3)^4)/2),0),($U$3*(1+$V$3)^4))))</f>
        <v>0</v>
      </c>
      <c r="O52" s="41" t="s">
        <v>51</v>
      </c>
      <c r="P52" s="134"/>
      <c r="Q52" s="134"/>
      <c r="R52" s="1"/>
      <c r="S52" s="17"/>
      <c r="T52"/>
      <c r="U52"/>
      <c r="V52" s="80"/>
    </row>
    <row r="53" spans="1:22" outlineLevel="1" x14ac:dyDescent="0.25">
      <c r="A53" s="22" t="s">
        <v>85</v>
      </c>
      <c r="B53" s="47"/>
      <c r="C53" s="47"/>
      <c r="D53" s="48"/>
      <c r="E53" s="48"/>
      <c r="F53" s="48"/>
      <c r="G53" s="46"/>
      <c r="H53" s="14"/>
      <c r="I53" s="89" t="s">
        <v>132</v>
      </c>
      <c r="J53" s="5">
        <f>IF($U53="F",J54*12,SUM(J55*9,J56))</f>
        <v>0</v>
      </c>
      <c r="K53" s="5">
        <f t="shared" ref="K53:N53" si="30">IF($U53="F",K54*12,SUM(K55*9,K56))</f>
        <v>0</v>
      </c>
      <c r="L53" s="5">
        <f t="shared" si="30"/>
        <v>0</v>
      </c>
      <c r="M53" s="5">
        <f t="shared" si="30"/>
        <v>0</v>
      </c>
      <c r="N53" s="5">
        <f t="shared" si="30"/>
        <v>0</v>
      </c>
      <c r="O53" s="41"/>
      <c r="P53" s="134" t="s">
        <v>130</v>
      </c>
      <c r="Q53" s="134" t="s">
        <v>131</v>
      </c>
      <c r="R53" s="1"/>
      <c r="S53" s="1"/>
      <c r="T53" s="311">
        <v>0</v>
      </c>
      <c r="U53" s="312"/>
    </row>
    <row r="54" spans="1:22" outlineLevel="1" x14ac:dyDescent="0.25">
      <c r="A54" s="13" t="e">
        <f>ROUND(P54*100, 2)&amp;"% Avg. Fiscal Effort, "&amp;ROUND(Q54, 2)&amp;" Avg. Calendar Months"</f>
        <v>#DIV/0!</v>
      </c>
      <c r="B54" s="47">
        <f>O54*J54</f>
        <v>0</v>
      </c>
      <c r="C54" s="47">
        <f>IF($J$5&gt;1,IF($U$2&lt;&gt;0,IF(O54*(1+$O$5)&lt;=$U$2,O54*K54*(1+$O$5),$U$2*K54),O54*K54*(1+$O$5)),0)</f>
        <v>0</v>
      </c>
      <c r="D54" s="47">
        <f>IF($J$5&gt;2,IF($U$2&lt;&gt;0,IF(O54*(1+$O$5)^2&lt;=$U$2,O54*L54*(1+$O$5)^2,$U$2*L54),O54*L54*(1+$O$5)^2),0)</f>
        <v>0</v>
      </c>
      <c r="E54" s="47">
        <f>IF($J$5&gt;3,IF($U$2&lt;&gt;0,IF(O54*(1+$O$5)^3&lt;=$U$2,O54*M54*(1+$O$5)^3,$U$2*M54),O54*M54*(1+$O$5)^3),0)</f>
        <v>0</v>
      </c>
      <c r="F54" s="47">
        <f>IF($J$5&gt;4,IF($U$2&lt;&gt;0,IF(O54*(1+$O$5)^4&lt;=$U$2,O54*N54*(1+$O$5)^4,$U$2*N54),O54*N54*(1+$O$5)^4),0)</f>
        <v>0</v>
      </c>
      <c r="G54" s="46">
        <f>SUM(B54:F54)</f>
        <v>0</v>
      </c>
      <c r="H54" s="14"/>
      <c r="I54" s="89" t="s">
        <v>26</v>
      </c>
      <c r="J54" s="265">
        <v>0</v>
      </c>
      <c r="K54" s="265">
        <f>IF($J$5&gt;1,J54,0)</f>
        <v>0</v>
      </c>
      <c r="L54" s="265">
        <f>IF($J$5&gt;2,K54,0)</f>
        <v>0</v>
      </c>
      <c r="M54" s="265">
        <f>IF($J$5&gt;3,L54,0)</f>
        <v>0</v>
      </c>
      <c r="N54" s="265">
        <f>IF($J$5&gt;4,M54,0)</f>
        <v>0</v>
      </c>
      <c r="O54" s="128">
        <f>IF(U53="F",IF($U$2&lt;&gt;0,IF(T53&gt;$U$2,$U$2,T53),T53),0)</f>
        <v>0</v>
      </c>
      <c r="P54" s="135" t="e">
        <f>SUM(J53:N53)/(ROUNDUP($J$5,0)*12)</f>
        <v>#DIV/0!</v>
      </c>
      <c r="Q54" s="136" t="e">
        <f>(SUM(J53:N53)/(CEILING($J$5*12,12)))*12</f>
        <v>#DIV/0!</v>
      </c>
      <c r="R54" s="1"/>
      <c r="S54" s="1"/>
      <c r="T54" s="78"/>
      <c r="U54" s="80"/>
      <c r="V54" s="80"/>
    </row>
    <row r="55" spans="1:22" outlineLevel="1" x14ac:dyDescent="0.25">
      <c r="A55" s="376" t="e">
        <f>ROUND(P54*100,2)&amp;"% Annualized Effort, "&amp;ROUND(Q55,2)&amp;" Avg. Academic Months
"&amp;IF(SUM(J56:N56)&gt;0," and "&amp;Q56 &amp;" Avg. Summer Months", "")</f>
        <v>#DIV/0!</v>
      </c>
      <c r="B55" s="47">
        <f>J55*O55</f>
        <v>0</v>
      </c>
      <c r="C55" s="47">
        <f>IF($J$5&gt;1,IF($U$2&lt;&gt;0,IF(O55*(1+$O$5)&lt;=$U$2*0.75,O55*K55*(1+$O$5),$U$2*0.75*K55),O55*K55*(1+$O$5)),0)</f>
        <v>0</v>
      </c>
      <c r="D55" s="47">
        <f>IF($J$5&gt;2,IF($U$2&lt;&gt;0,IF(O55*(1+$O$5)^2&lt;=$U$2*0.75,O55*L55*(1+$O$5)^2,$U$2*0.75*L55),O55*L55*(1+$O$5)^2),0)</f>
        <v>0</v>
      </c>
      <c r="E55" s="47">
        <f>IF($J$5&gt;3,IF($U$2&lt;&gt;0,IF(O55*(1+$O$5)^3&lt;=$U$2*0.75,O55*M55*(1+$O$5)^3,$U$2*0.75*M55),O55*M55*(1+$O$5)^3),0)</f>
        <v>0</v>
      </c>
      <c r="F55" s="47">
        <f>IF($J$5&gt;4,IF($U$2&lt;&gt;0,IF(O55*(1+$O$5)^4&lt;=$U$2*0.75,O55*N55*(1+$O$5)^4,$U$2*0.75*N55),O55*N55*(1+$O$5)^4),0)</f>
        <v>0</v>
      </c>
      <c r="G55" s="46">
        <f>SUM(B55:F55)</f>
        <v>0</v>
      </c>
      <c r="H55" s="14"/>
      <c r="I55" s="89" t="s">
        <v>15</v>
      </c>
      <c r="J55" s="265">
        <v>0</v>
      </c>
      <c r="K55" s="265">
        <f t="shared" ref="K55:K56" si="31">IF($J$5&gt;1,J55,0)</f>
        <v>0</v>
      </c>
      <c r="L55" s="265">
        <f t="shared" ref="L55:L56" si="32">IF($J$5&gt;2,K55,0)</f>
        <v>0</v>
      </c>
      <c r="M55" s="265">
        <f t="shared" ref="M55:M56" si="33">IF($J$5&gt;3,L55,0)</f>
        <v>0</v>
      </c>
      <c r="N55" s="265">
        <f t="shared" ref="N55:N56" si="34">IF($J$5&gt;4,M55,0)</f>
        <v>0</v>
      </c>
      <c r="O55" s="128">
        <f>IF(U53="A",IF($U$2&lt;&gt;0,IF(T53&gt;($U$2/12*9),($U$2/12*9),T53),T53),0)</f>
        <v>0</v>
      </c>
      <c r="P55" s="143"/>
      <c r="Q55" s="137" t="e">
        <f>((SUM(J53:N53)-SUM(J56:N56))/(CEILING($J$5*9,9)))*9</f>
        <v>#DIV/0!</v>
      </c>
      <c r="R55" s="12"/>
      <c r="S55" s="12"/>
      <c r="T55" s="78"/>
      <c r="U55" s="80"/>
      <c r="V55" s="80"/>
    </row>
    <row r="56" spans="1:22" outlineLevel="1" x14ac:dyDescent="0.25">
      <c r="A56" s="376"/>
      <c r="B56" s="47">
        <f>J56/3*O56</f>
        <v>0</v>
      </c>
      <c r="C56" s="47">
        <f>IF($J$5&gt;1,IF($U$2&lt;&gt;0,IF(O56*(1+$O$5)&lt;=$U$2*0.25,O56*K56/3*(1+$O$5),$U$2*0.25*K56/3),O56*K56/3*(1+$O$5)),0)</f>
        <v>0</v>
      </c>
      <c r="D56" s="47">
        <f>IF($J$5&gt;2,IF($U$2&lt;&gt;0,IF(O56*(1+$O$5)^2&lt;=$U$2*0.25,O56*L56/3*(1+$O$5)^2,$U$2*0.25*L56/3),O56*L56/3*(1+$O$5)^2),0)</f>
        <v>0</v>
      </c>
      <c r="E56" s="47">
        <f>IF($J$5&gt;3,IF($U$2&lt;&gt;0,IF(O56*(1+$O$5)^3&lt;=$U$2*0.25,O56*M56/3*(1+$O$5)^3,$U$2*0.25*M56/3),O56*M56/3*(1+$O$5)^3),0)</f>
        <v>0</v>
      </c>
      <c r="F56" s="47">
        <f>IF($J$5&gt;4,IF($U$2&lt;&gt;0,IF(O56*(1+$O$5)^4&lt;=$U$2*0.25,O56*N56/3*(1+$O$5)^4,$U$2*0.25*N56/3),O56*N56/3*(1+$O$5)^4),0)</f>
        <v>0</v>
      </c>
      <c r="G56" s="46">
        <f>SUM(B56:F56)</f>
        <v>0</v>
      </c>
      <c r="H56" s="14"/>
      <c r="I56" s="90" t="s">
        <v>17</v>
      </c>
      <c r="J56" s="316">
        <v>0</v>
      </c>
      <c r="K56" s="316">
        <f t="shared" si="31"/>
        <v>0</v>
      </c>
      <c r="L56" s="316">
        <f t="shared" si="32"/>
        <v>0</v>
      </c>
      <c r="M56" s="316">
        <f t="shared" si="33"/>
        <v>0</v>
      </c>
      <c r="N56" s="316">
        <f t="shared" si="34"/>
        <v>0</v>
      </c>
      <c r="O56" s="147">
        <f>IF(U53="A",IF($U$2&lt;&gt;0,IF(T53/9*3&gt;($U$2/12*3),($U$2/12*3),T53/9*3),T53/9*3),0)</f>
        <v>0</v>
      </c>
      <c r="P56" s="138"/>
      <c r="Q56" s="138" t="e">
        <f>((SUM(J53:N53)-SUM(J55:N55)*9)/(CEILING($J$5*3,3)))*3</f>
        <v>#DIV/0!</v>
      </c>
      <c r="R56" s="12"/>
      <c r="S56" s="12"/>
      <c r="T56" s="1"/>
      <c r="U56" s="80"/>
      <c r="V56" s="131"/>
    </row>
    <row r="57" spans="1:22" outlineLevel="1" x14ac:dyDescent="0.25">
      <c r="B57" s="47"/>
      <c r="C57" s="47"/>
      <c r="D57" s="48"/>
      <c r="E57" s="48"/>
      <c r="F57" s="48"/>
      <c r="G57" s="46"/>
      <c r="H57" s="14"/>
      <c r="I57" s="45" t="s">
        <v>48</v>
      </c>
      <c r="J57" s="88" t="b">
        <f>IF(J59&gt;0%,IF(J59&lt;50%,IF(J59&gt;0,($U$3/2),0),$U$3),IF(J60&gt;0%,IF(J60&lt;50%,IF(J60&gt;0,($U$3/2),0),$U$3)))</f>
        <v>0</v>
      </c>
      <c r="K57" s="88" t="b">
        <f>IF(K59&gt;0%,IF(K59&lt;50%,IF(K59&gt;0,(($U$3*(1+$V$3))/2),0),($U$3*(1+$V$3))),IF(K60&gt;0%,IF(K60&lt;50%,IF(K60&gt;0,(($U$3*(1+$V$3))/2),0),($U$3*(1+$V$3)))))</f>
        <v>0</v>
      </c>
      <c r="L57" s="88" t="b">
        <f>IF(L59&gt;0%,IF(L59&lt;50%,IF(L59&gt;0,(($U$3*(1+$V$3)^2)/2),0),($U$3*(1+$V$3)^2)),IF(L60&gt;0%,IF(L60&lt;50%,IF(L60&gt;0,(($U$3*(1+$V$3)^2)/2),0),($U$3*(1+$V$3)^2))))</f>
        <v>0</v>
      </c>
      <c r="M57" s="88" t="b">
        <f>IF(M59&gt;0%,IF(M59&lt;50%,IF(M59&gt;0,(($U$3*(1+$V$3)^3)/2),0),($U$3*(1+$V$3)^3)),IF(M60&gt;0%,IF(M60&lt;50%,IF(M60&gt;0,(($U$3*(1+$V$3)^3)/2),0),($U$3*(1+$V$3)^3))))</f>
        <v>0</v>
      </c>
      <c r="N57" s="88" t="b">
        <f>IF(N59&gt;0%,IF(N59&lt;50%,IF(N59&gt;0,(($U$3*(1+$V$3)^4)/2),0),($U$3*(1+$V$3)^4)),IF(N60&gt;0%,IF(N60&lt;50%,IF(N60&gt;0,(($U$3*(1+$V$3)^4)/2),0),($U$3*(1+$V$3)^4))))</f>
        <v>0</v>
      </c>
      <c r="O57" s="41" t="s">
        <v>51</v>
      </c>
      <c r="P57" s="134"/>
      <c r="Q57" s="134"/>
      <c r="R57" s="1"/>
      <c r="S57" s="17"/>
      <c r="T57" s="1"/>
    </row>
    <row r="58" spans="1:22" outlineLevel="1" x14ac:dyDescent="0.25">
      <c r="A58" s="22" t="s">
        <v>85</v>
      </c>
      <c r="B58" s="47"/>
      <c r="C58" s="47"/>
      <c r="D58" s="48"/>
      <c r="E58" s="48"/>
      <c r="F58" s="48"/>
      <c r="G58" s="46"/>
      <c r="H58" s="14"/>
      <c r="I58" s="89" t="s">
        <v>132</v>
      </c>
      <c r="J58" s="5">
        <f>IF($U58="F",J59*12,SUM(J60*9,J61))</f>
        <v>0</v>
      </c>
      <c r="K58" s="5">
        <f t="shared" ref="K58:N58" si="35">IF($U58="F",K59*12,SUM(K60*9,K61))</f>
        <v>0</v>
      </c>
      <c r="L58" s="5">
        <f t="shared" si="35"/>
        <v>0</v>
      </c>
      <c r="M58" s="5">
        <f t="shared" si="35"/>
        <v>0</v>
      </c>
      <c r="N58" s="5">
        <f t="shared" si="35"/>
        <v>0</v>
      </c>
      <c r="O58" s="41"/>
      <c r="P58" s="134" t="s">
        <v>130</v>
      </c>
      <c r="Q58" s="134" t="s">
        <v>131</v>
      </c>
      <c r="R58" s="1"/>
      <c r="S58" s="1"/>
      <c r="T58" s="311">
        <v>0</v>
      </c>
      <c r="U58" s="312"/>
    </row>
    <row r="59" spans="1:22" outlineLevel="1" x14ac:dyDescent="0.25">
      <c r="A59" s="13" t="e">
        <f>ROUND(P59*100, 2)&amp;"% Avg. Fiscal Effort, "&amp;ROUND(Q59, 2)&amp;" Avg. Calendar Months"</f>
        <v>#DIV/0!</v>
      </c>
      <c r="B59" s="47">
        <f>O59*J59</f>
        <v>0</v>
      </c>
      <c r="C59" s="47">
        <f>IF($J$5&gt;1,IF($U$2&lt;&gt;0,IF(O59*(1+$O$5)&lt;=$U$2,O59*K59*(1+$O$5),$U$2*K59),O59*K59*(1+$O$5)),0)</f>
        <v>0</v>
      </c>
      <c r="D59" s="47">
        <f>IF($J$5&gt;2,IF($U$2&lt;&gt;0,IF(O59*(1+$O$5)^2&lt;=$U$2,O59*L59*(1+$O$5)^2,$U$2*L59),O59*L59*(1+$O$5)^2),0)</f>
        <v>0</v>
      </c>
      <c r="E59" s="47">
        <f>IF($J$5&gt;3,IF($U$2&lt;&gt;0,IF(O59*(1+$O$5)^3&lt;=$U$2,O59*M59*(1+$O$5)^3,$U$2*M59),O59*M59*(1+$O$5)^3),0)</f>
        <v>0</v>
      </c>
      <c r="F59" s="47">
        <f>IF($J$5&gt;4,IF($U$2&lt;&gt;0,IF(O59*(1+$O$5)^4&lt;=$U$2,O59*N59*(1+$O$5)^4,$U$2*N59),O59*N59*(1+$O$5)^4),0)</f>
        <v>0</v>
      </c>
      <c r="G59" s="46">
        <f>SUM(B59:F59)</f>
        <v>0</v>
      </c>
      <c r="H59" s="14"/>
      <c r="I59" s="89" t="s">
        <v>26</v>
      </c>
      <c r="J59" s="265">
        <v>0</v>
      </c>
      <c r="K59" s="265">
        <f>IF($J$5&gt;1,J59,0)</f>
        <v>0</v>
      </c>
      <c r="L59" s="265">
        <f>IF($J$5&gt;2,K59,0)</f>
        <v>0</v>
      </c>
      <c r="M59" s="265">
        <f>IF($J$5&gt;3,L59,0)</f>
        <v>0</v>
      </c>
      <c r="N59" s="265">
        <f>IF($J$5&gt;4,M59,0)</f>
        <v>0</v>
      </c>
      <c r="O59" s="128">
        <f>IF(U58="F",IF($U$2&lt;&gt;0,IF(T58&gt;$U$2,$U$2,T58),T58),0)</f>
        <v>0</v>
      </c>
      <c r="P59" s="135" t="e">
        <f>SUM(J58:N58)/(ROUNDUP($J$5,0)*12)</f>
        <v>#DIV/0!</v>
      </c>
      <c r="Q59" s="136" t="e">
        <f>(SUM(J58:N58)/(CEILING($J$5*12,12)))*12</f>
        <v>#DIV/0!</v>
      </c>
      <c r="R59" s="1"/>
      <c r="S59" s="1"/>
      <c r="T59" s="78"/>
      <c r="U59" s="80"/>
      <c r="V59" s="80"/>
    </row>
    <row r="60" spans="1:22" outlineLevel="1" x14ac:dyDescent="0.25">
      <c r="A60" s="376" t="e">
        <f>ROUND(P59*100,2)&amp;"% Annualized Effort, "&amp;ROUND(Q60,2)&amp;" Avg. Academic Months
"&amp;IF(SUM(J61:N61)&gt;0," and "&amp;Q61 &amp;" Avg. Summer Months", "")</f>
        <v>#DIV/0!</v>
      </c>
      <c r="B60" s="47">
        <f>J60*O60</f>
        <v>0</v>
      </c>
      <c r="C60" s="47">
        <f>IF($J$5&gt;1,IF($U$2&lt;&gt;0,IF(O60*(1+$O$5)&lt;=$U$2*0.75,O60*K60*(1+$O$5),$U$2*0.75*K60),O60*K60*(1+$O$5)),0)</f>
        <v>0</v>
      </c>
      <c r="D60" s="47">
        <f>IF($J$5&gt;2,IF($U$2&lt;&gt;0,IF(O60*(1+$O$5)^2&lt;=$U$2*0.75,O60*L60*(1+$O$5)^2,$U$2*0.75*L60),O60*L60*(1+$O$5)^2),0)</f>
        <v>0</v>
      </c>
      <c r="E60" s="47">
        <f>IF($J$5&gt;3,IF($U$2&lt;&gt;0,IF(O60*(1+$O$5)^3&lt;=$U$2*0.75,O60*M60*(1+$O$5)^3,$U$2*0.75*M60),O60*M60*(1+$O$5)^3),0)</f>
        <v>0</v>
      </c>
      <c r="F60" s="47">
        <f>IF($J$5&gt;4,IF($U$2&lt;&gt;0,IF(O60*(1+$O$5)^4&lt;=$U$2*0.75,O60*N60*(1+$O$5)^4,$U$2*0.75*N60),O60*N60*(1+$O$5)^4),0)</f>
        <v>0</v>
      </c>
      <c r="G60" s="46">
        <f>SUM(B60:F60)</f>
        <v>0</v>
      </c>
      <c r="H60" s="14"/>
      <c r="I60" s="89" t="s">
        <v>15</v>
      </c>
      <c r="J60" s="265">
        <v>0</v>
      </c>
      <c r="K60" s="265">
        <f t="shared" ref="K60:K61" si="36">IF($J$5&gt;1,J60,0)</f>
        <v>0</v>
      </c>
      <c r="L60" s="265">
        <f t="shared" ref="L60:L61" si="37">IF($J$5&gt;2,K60,0)</f>
        <v>0</v>
      </c>
      <c r="M60" s="265">
        <f t="shared" ref="M60:M61" si="38">IF($J$5&gt;3,L60,0)</f>
        <v>0</v>
      </c>
      <c r="N60" s="265">
        <f t="shared" ref="N60:N61" si="39">IF($J$5&gt;4,M60,0)</f>
        <v>0</v>
      </c>
      <c r="O60" s="128">
        <f>IF(U58="A",IF($U$2&lt;&gt;0,IF(T58&gt;($U$2/12*9),($U$2/12*9),T58),T58),0)</f>
        <v>0</v>
      </c>
      <c r="P60" s="143"/>
      <c r="Q60" s="137" t="e">
        <f>((SUM(J58:N58)-SUM(J61:N61))/(CEILING($J$5*9,9)))*9</f>
        <v>#DIV/0!</v>
      </c>
      <c r="R60" s="12"/>
      <c r="S60" s="12"/>
      <c r="T60" s="78"/>
      <c r="U60" s="80"/>
      <c r="V60" s="80"/>
    </row>
    <row r="61" spans="1:22" outlineLevel="1" x14ac:dyDescent="0.25">
      <c r="A61" s="376"/>
      <c r="B61" s="47">
        <f>J61/3*O61</f>
        <v>0</v>
      </c>
      <c r="C61" s="47">
        <f>IF($J$5&gt;1,IF($U$2&lt;&gt;0,IF(O61*(1+$O$5)&lt;=$U$2*0.25,O61*K61/3*(1+$O$5),$U$2*0.25*K61/3),O61*K61/3*(1+$O$5)),0)</f>
        <v>0</v>
      </c>
      <c r="D61" s="47">
        <f>IF($J$5&gt;2,IF($U$2&lt;&gt;0,IF(O61*(1+$O$5)^2&lt;=$U$2*0.25,O61*L61/3*(1+$O$5)^2,$U$2*0.25*L61/3),O61*L61/3*(1+$O$5)^2),0)</f>
        <v>0</v>
      </c>
      <c r="E61" s="47">
        <f>IF($J$5&gt;3,IF($U$2&lt;&gt;0,IF(O61*(1+$O$5)^3&lt;=$U$2*0.25,O61*M61/3*(1+$O$5)^3,$U$2*0.25*M61/3),O61*M61/3*(1+$O$5)^3),0)</f>
        <v>0</v>
      </c>
      <c r="F61" s="47">
        <f>IF($J$5&gt;4,IF($U$2&lt;&gt;0,IF(O61*(1+$O$5)^4&lt;=$U$2*0.25,O61*N61/3*(1+$O$5)^4,$U$2*0.25*N61/3),O61*N61/3*(1+$O$5)^4),0)</f>
        <v>0</v>
      </c>
      <c r="G61" s="46">
        <f>SUM(B61:F61)</f>
        <v>0</v>
      </c>
      <c r="H61" s="14"/>
      <c r="I61" s="90" t="s">
        <v>17</v>
      </c>
      <c r="J61" s="316">
        <v>0</v>
      </c>
      <c r="K61" s="316">
        <f t="shared" si="36"/>
        <v>0</v>
      </c>
      <c r="L61" s="316">
        <f t="shared" si="37"/>
        <v>0</v>
      </c>
      <c r="M61" s="316">
        <f t="shared" si="38"/>
        <v>0</v>
      </c>
      <c r="N61" s="316">
        <f t="shared" si="39"/>
        <v>0</v>
      </c>
      <c r="O61" s="147">
        <f>IF(U58="A",IF($U$2&lt;&gt;0,IF(T58/9*3&gt;($U$2/12*3),($U$2/12*3),T58/9*3),T58/9*3),0)</f>
        <v>0</v>
      </c>
      <c r="P61" s="138"/>
      <c r="Q61" s="138" t="e">
        <f>((SUM(J58:N58)-SUM(J60:N60)*9)/(CEILING($J$5*3,3)))*3</f>
        <v>#DIV/0!</v>
      </c>
      <c r="R61" s="12"/>
      <c r="S61" s="12"/>
      <c r="T61" s="1"/>
      <c r="U61" s="80"/>
      <c r="V61" s="131"/>
    </row>
    <row r="62" spans="1:22" outlineLevel="1" x14ac:dyDescent="0.25">
      <c r="B62" s="47"/>
      <c r="C62" s="47"/>
      <c r="D62" s="47"/>
      <c r="E62" s="47"/>
      <c r="F62" s="47"/>
      <c r="G62" s="46"/>
      <c r="H62" s="14"/>
      <c r="I62" s="45" t="s">
        <v>48</v>
      </c>
      <c r="J62" s="88" t="b">
        <f>IF(J64&gt;0%,IF(J64&lt;50%,IF(J64&gt;0,($U$3/2),0),$U$3),IF(J65&gt;0%,IF(J65&lt;50%,IF(J65&gt;0,($U$3/2),0),$U$3)))</f>
        <v>0</v>
      </c>
      <c r="K62" s="88" t="b">
        <f>IF(K64&gt;0%,IF(K64&lt;50%,IF(K64&gt;0,(($U$3*(1+$V$3))/2),0),($U$3*(1+$V$3))),IF(K65&gt;0%,IF(K65&lt;50%,IF(K65&gt;0,(($U$3*(1+$V$3))/2),0),($U$3*(1+$V$3)))))</f>
        <v>0</v>
      </c>
      <c r="L62" s="88" t="b">
        <f>IF(L64&gt;0%,IF(L64&lt;50%,IF(L64&gt;0,(($U$3*(1+$V$3)^2)/2),0),($U$3*(1+$V$3)^2)),IF(L65&gt;0%,IF(L65&lt;50%,IF(L65&gt;0,(($U$3*(1+$V$3)^2)/2),0),($U$3*(1+$V$3)^2))))</f>
        <v>0</v>
      </c>
      <c r="M62" s="88" t="b">
        <f>IF(M64&gt;0%,IF(M64&lt;50%,IF(M64&gt;0,(($U$3*(1+$V$3)^3)/2),0),($U$3*(1+$V$3)^3)),IF(M65&gt;0%,IF(M65&lt;50%,IF(M65&gt;0,(($U$3*(1+$V$3)^3)/2),0),($U$3*(1+$V$3)^3))))</f>
        <v>0</v>
      </c>
      <c r="N62" s="88" t="b">
        <f>IF(N64&gt;0%,IF(N64&lt;50%,IF(N64&gt;0,(($U$3*(1+$V$3)^4)/2),0),($U$3*(1+$V$3)^4)),IF(N65&gt;0%,IF(N65&lt;50%,IF(N65&gt;0,(($U$3*(1+$V$3)^4)/2),0),($U$3*(1+$V$3)^4))))</f>
        <v>0</v>
      </c>
      <c r="O62" s="41" t="s">
        <v>51</v>
      </c>
      <c r="P62" s="134"/>
      <c r="Q62" s="134"/>
      <c r="R62" s="1"/>
      <c r="S62" s="17"/>
      <c r="T62" s="1"/>
    </row>
    <row r="63" spans="1:22" outlineLevel="1" x14ac:dyDescent="0.25">
      <c r="A63" s="22" t="s">
        <v>85</v>
      </c>
      <c r="B63" s="47"/>
      <c r="C63" s="47"/>
      <c r="D63" s="47"/>
      <c r="E63" s="47"/>
      <c r="F63" s="47"/>
      <c r="G63" s="46"/>
      <c r="H63" s="14"/>
      <c r="I63" s="89" t="s">
        <v>132</v>
      </c>
      <c r="J63" s="5">
        <f>IF($U63="F",J64*12,SUM(J65*9,J66))</f>
        <v>0</v>
      </c>
      <c r="K63" s="5">
        <f t="shared" ref="K63:N63" si="40">IF($U63="F",K64*12,SUM(K65*9,K66))</f>
        <v>0</v>
      </c>
      <c r="L63" s="5">
        <f t="shared" si="40"/>
        <v>0</v>
      </c>
      <c r="M63" s="5">
        <f t="shared" si="40"/>
        <v>0</v>
      </c>
      <c r="N63" s="5">
        <f t="shared" si="40"/>
        <v>0</v>
      </c>
      <c r="O63" s="41"/>
      <c r="P63" s="134" t="s">
        <v>130</v>
      </c>
      <c r="Q63" s="134" t="s">
        <v>131</v>
      </c>
      <c r="R63" s="1"/>
      <c r="S63" s="1"/>
      <c r="T63" s="311">
        <v>0</v>
      </c>
      <c r="U63" s="312"/>
    </row>
    <row r="64" spans="1:22" outlineLevel="1" x14ac:dyDescent="0.25">
      <c r="A64" s="13" t="e">
        <f>ROUND(P64*100, 2)&amp;"% Avg. Fiscal Effort, "&amp;ROUND(Q64, 2)&amp;" Avg. Calendar Months"</f>
        <v>#DIV/0!</v>
      </c>
      <c r="B64" s="47">
        <f>O64*J64</f>
        <v>0</v>
      </c>
      <c r="C64" s="47">
        <f>IF($J$5&gt;1,IF($U$2&lt;&gt;0,IF(O64*(1+$O$5)&lt;=$U$2,O64*K64*(1+$O$5),$U$2*K64),O64*K64*(1+$O$5)),0)</f>
        <v>0</v>
      </c>
      <c r="D64" s="47">
        <f>IF($J$5&gt;2,IF($U$2&lt;&gt;0,IF(O64*(1+$O$5)^2&lt;=$U$2,O64*L64*(1+$O$5)^2,$U$2*L64),O64*L64*(1+$O$5)^2),0)</f>
        <v>0</v>
      </c>
      <c r="E64" s="47">
        <f>IF($J$5&gt;3,IF($U$2&lt;&gt;0,IF(O64*(1+$O$5)^3&lt;=$U$2,O64*M64*(1+$O$5)^3,$U$2*M64),O64*M64*(1+$O$5)^3),0)</f>
        <v>0</v>
      </c>
      <c r="F64" s="47">
        <f>IF($J$5&gt;4,IF($U$2&lt;&gt;0,IF(O64*(1+$O$5)^4&lt;=$U$2,O64*N64*(1+$O$5)^4,$U$2*N64),O64*N64*(1+$O$5)^4),0)</f>
        <v>0</v>
      </c>
      <c r="G64" s="46">
        <f>SUM(B64:F64)</f>
        <v>0</v>
      </c>
      <c r="H64" s="14"/>
      <c r="I64" s="89" t="s">
        <v>26</v>
      </c>
      <c r="J64" s="265">
        <v>0</v>
      </c>
      <c r="K64" s="265">
        <f>IF($J$5&gt;1,J64,0)</f>
        <v>0</v>
      </c>
      <c r="L64" s="265">
        <f>IF($J$5&gt;2,K64,0)</f>
        <v>0</v>
      </c>
      <c r="M64" s="265">
        <f>IF($J$5&gt;3,L64,0)</f>
        <v>0</v>
      </c>
      <c r="N64" s="265">
        <f>IF($J$5&gt;4,M64,0)</f>
        <v>0</v>
      </c>
      <c r="O64" s="128">
        <f>IF(U63="F",IF($U$2&lt;&gt;0,IF(T63&gt;$U$2,$U$2,T63),T63),0)</f>
        <v>0</v>
      </c>
      <c r="P64" s="135" t="e">
        <f>SUM(J63:N63)/(ROUNDUP($J$5,0)*12)</f>
        <v>#DIV/0!</v>
      </c>
      <c r="Q64" s="136" t="e">
        <f>(SUM(J63:N63)/(CEILING($J$5*12,12)))*12</f>
        <v>#DIV/0!</v>
      </c>
      <c r="R64" s="1"/>
      <c r="S64" s="1"/>
      <c r="T64" s="78"/>
      <c r="U64" s="80"/>
      <c r="V64" s="80"/>
    </row>
    <row r="65" spans="1:22" outlineLevel="1" x14ac:dyDescent="0.25">
      <c r="A65" s="376" t="e">
        <f>ROUND(P64*100,2)&amp;"% Annualized Effort, "&amp;ROUND(Q65,2)&amp;" Avg. Academic Months
"&amp;IF(SUM(J66:N66)&gt;0," and "&amp;Q66 &amp;" Avg. Summer Months", "")</f>
        <v>#DIV/0!</v>
      </c>
      <c r="B65" s="47">
        <f>J65*O65</f>
        <v>0</v>
      </c>
      <c r="C65" s="47">
        <f>IF($J$5&gt;1,IF($U$2&lt;&gt;0,IF(O65*(1+$O$5)&lt;=$U$2*0.75,O65*K65*(1+$O$5),$U$2*0.75*K65),O65*K65*(1+$O$5)),0)</f>
        <v>0</v>
      </c>
      <c r="D65" s="47">
        <f>IF($J$5&gt;2,IF($U$2&lt;&gt;0,IF(O65*(1+$O$5)^2&lt;=$U$2*0.75,O65*L65*(1+$O$5)^2,$U$2*0.75*L65),O65*L65*(1+$O$5)^2),0)</f>
        <v>0</v>
      </c>
      <c r="E65" s="47">
        <f>IF($J$5&gt;3,IF($U$2&lt;&gt;0,IF(O65*(1+$O$5)^3&lt;=$U$2*0.75,O65*M65*(1+$O$5)^3,$U$2*0.75*M65),O65*M65*(1+$O$5)^3),0)</f>
        <v>0</v>
      </c>
      <c r="F65" s="47">
        <f>IF($J$5&gt;4,IF($U$2&lt;&gt;0,IF(O65*(1+$O$5)^4&lt;=$U$2*0.75,O65*N65*(1+$O$5)^4,$U$2*0.75*N65),O65*N65*(1+$O$5)^4),0)</f>
        <v>0</v>
      </c>
      <c r="G65" s="46">
        <f>SUM(B65:F65)</f>
        <v>0</v>
      </c>
      <c r="H65" s="14"/>
      <c r="I65" s="89" t="s">
        <v>15</v>
      </c>
      <c r="J65" s="265">
        <v>0</v>
      </c>
      <c r="K65" s="265">
        <f t="shared" ref="K65:K66" si="41">IF($J$5&gt;1,J65,0)</f>
        <v>0</v>
      </c>
      <c r="L65" s="265">
        <f t="shared" ref="L65:L66" si="42">IF($J$5&gt;2,K65,0)</f>
        <v>0</v>
      </c>
      <c r="M65" s="265">
        <f t="shared" ref="M65:M66" si="43">IF($J$5&gt;3,L65,0)</f>
        <v>0</v>
      </c>
      <c r="N65" s="265">
        <f t="shared" ref="N65:N66" si="44">IF($J$5&gt;4,M65,0)</f>
        <v>0</v>
      </c>
      <c r="O65" s="128">
        <f>IF(U63="A",IF($U$2&lt;&gt;0,IF(T63&gt;($U$2/12*9),($U$2/12*9),T63),T63),0)</f>
        <v>0</v>
      </c>
      <c r="P65" s="143"/>
      <c r="Q65" s="137" t="e">
        <f>((SUM(J63:N63)-SUM(J66:N66))/(CEILING($J$5*9,9)))*9</f>
        <v>#DIV/0!</v>
      </c>
      <c r="R65" s="12"/>
      <c r="S65" s="12"/>
      <c r="T65" s="78"/>
      <c r="U65" s="80"/>
      <c r="V65" s="80"/>
    </row>
    <row r="66" spans="1:22" outlineLevel="1" x14ac:dyDescent="0.25">
      <c r="A66" s="376"/>
      <c r="B66" s="47">
        <f>J66/3*O66</f>
        <v>0</v>
      </c>
      <c r="C66" s="47">
        <f>IF($J$5&gt;1,IF($U$2&lt;&gt;0,IF(O66*(1+$O$5)&lt;=$U$2*0.25,O66*K66/3*(1+$O$5),$U$2*0.25*K66/3),O66*K66/3*(1+$O$5)),0)</f>
        <v>0</v>
      </c>
      <c r="D66" s="47">
        <f>IF($J$5&gt;2,IF($U$2&lt;&gt;0,IF(O66*(1+$O$5)^2&lt;=$U$2*0.25,O66*L66/3*(1+$O$5)^2,$U$2*0.25*L66/3),O66*L66/3*(1+$O$5)^2),0)</f>
        <v>0</v>
      </c>
      <c r="E66" s="47">
        <f>IF($J$5&gt;3,IF($U$2&lt;&gt;0,IF(O66*(1+$O$5)^3&lt;=$U$2*0.25,O66*M66/3*(1+$O$5)^3,$U$2*0.25*M66/3),O66*M66/3*(1+$O$5)^3),0)</f>
        <v>0</v>
      </c>
      <c r="F66" s="47">
        <f>IF($J$5&gt;4,IF($U$2&lt;&gt;0,IF(O66*(1+$O$5)^4&lt;=$U$2*0.25,O66*N66/3*(1+$O$5)^4,$U$2*0.25*N66/3),O66*N66/3*(1+$O$5)^4),0)</f>
        <v>0</v>
      </c>
      <c r="G66" s="46">
        <f>SUM(B66:F66)</f>
        <v>0</v>
      </c>
      <c r="H66" s="14"/>
      <c r="I66" s="89" t="s">
        <v>17</v>
      </c>
      <c r="J66" s="316">
        <v>0</v>
      </c>
      <c r="K66" s="316">
        <f t="shared" si="41"/>
        <v>0</v>
      </c>
      <c r="L66" s="316">
        <f t="shared" si="42"/>
        <v>0</v>
      </c>
      <c r="M66" s="316">
        <f t="shared" si="43"/>
        <v>0</v>
      </c>
      <c r="N66" s="316">
        <f t="shared" si="44"/>
        <v>0</v>
      </c>
      <c r="O66" s="147">
        <f>IF(U63="A",IF($U$2&lt;&gt;0,IF(T63/9*3&gt;($U$2/12*3),($U$2/12*3),T63/9*3),T63/9*3),0)</f>
        <v>0</v>
      </c>
      <c r="P66" s="138"/>
      <c r="Q66" s="138" t="e">
        <f>((SUM(J63:N63)-SUM(J65:N65)*9)/(CEILING($J$5*3,3)))*3</f>
        <v>#DIV/0!</v>
      </c>
      <c r="R66" s="12"/>
      <c r="S66" s="12"/>
      <c r="T66" s="1"/>
      <c r="U66" s="80"/>
      <c r="V66" s="131"/>
    </row>
    <row r="67" spans="1:22" outlineLevel="1" x14ac:dyDescent="0.25">
      <c r="A67" s="13"/>
      <c r="B67" s="47"/>
      <c r="C67" s="47"/>
      <c r="D67" s="48"/>
      <c r="E67" s="48"/>
      <c r="F67" s="48"/>
      <c r="G67" s="46"/>
      <c r="H67" s="14"/>
      <c r="I67" s="34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72" t="s">
        <v>50</v>
      </c>
      <c r="P67" s="135"/>
      <c r="Q67" s="135"/>
      <c r="R67" s="1"/>
      <c r="S67" s="1"/>
      <c r="T67" s="1"/>
    </row>
    <row r="68" spans="1:22" outlineLevel="1" x14ac:dyDescent="0.25">
      <c r="A68" s="22" t="str">
        <f>"TBN, Student Worker ("&amp;J68&amp;")"</f>
        <v>TBN, Student Worker (0)</v>
      </c>
      <c r="B68" s="47"/>
      <c r="C68" s="47"/>
      <c r="D68" s="48"/>
      <c r="E68" s="48"/>
      <c r="F68" s="48"/>
      <c r="G68" s="46"/>
      <c r="H68" s="14"/>
      <c r="I68" s="4" t="s">
        <v>49</v>
      </c>
      <c r="J68" s="276">
        <v>0</v>
      </c>
      <c r="K68" s="117"/>
      <c r="L68" s="117"/>
      <c r="M68" s="117"/>
      <c r="N68" s="117"/>
      <c r="O68" s="318">
        <v>0</v>
      </c>
      <c r="P68" s="135"/>
      <c r="Q68" s="135"/>
      <c r="R68" s="1"/>
      <c r="S68" s="1"/>
      <c r="T68" s="1"/>
    </row>
    <row r="69" spans="1:22" outlineLevel="1" x14ac:dyDescent="0.25">
      <c r="A69" s="13" t="str">
        <f>J69&amp;" hours per student @ $"&amp;O68&amp;"/hour"</f>
        <v xml:space="preserve"> hours per student @ $0/hour</v>
      </c>
      <c r="B69" s="47">
        <f>J68*J69*O68</f>
        <v>0</v>
      </c>
      <c r="C69" s="47">
        <f>IF($J$5&gt;1,$J$68*K69*$O$68*(1+$O$5),0)</f>
        <v>0</v>
      </c>
      <c r="D69" s="47">
        <f>IF($J$5&gt;2,$J$68*L69*$O$68*(1+$O$5)^2,0)</f>
        <v>0</v>
      </c>
      <c r="E69" s="47">
        <f>IF($J$5&gt;3,$J$68*M69*$O$68*(1+$O$5)^3,0)</f>
        <v>0</v>
      </c>
      <c r="F69" s="47">
        <f>IF($J$5&gt;4,$J$68*N69*$O$68*(1+$O$5)^4,0)</f>
        <v>0</v>
      </c>
      <c r="G69" s="46">
        <f>SUM(B69:F69)</f>
        <v>0</v>
      </c>
      <c r="H69" s="14"/>
      <c r="I69" s="20" t="s">
        <v>56</v>
      </c>
      <c r="J69" s="317"/>
      <c r="K69" s="316">
        <f t="shared" ref="K69" si="45">IF($J$5&gt;1,J69,0)</f>
        <v>0</v>
      </c>
      <c r="L69" s="317">
        <f t="shared" ref="L69" si="46">IF($J$5&gt;2,K69,0)</f>
        <v>0</v>
      </c>
      <c r="M69" s="317">
        <f t="shared" ref="M69" si="47">IF($J$5&gt;3,L69,0)</f>
        <v>0</v>
      </c>
      <c r="N69" s="317">
        <f t="shared" ref="N69" si="48">IF($J$5&gt;4,M69,0)</f>
        <v>0</v>
      </c>
      <c r="O69" s="21"/>
      <c r="P69" s="135"/>
      <c r="Q69" s="135"/>
      <c r="R69" s="1"/>
      <c r="S69" s="1"/>
      <c r="T69" s="1"/>
    </row>
    <row r="70" spans="1:22" outlineLevel="1" x14ac:dyDescent="0.25">
      <c r="A70" s="13"/>
      <c r="B70" s="47"/>
      <c r="C70" s="47"/>
      <c r="D70" s="47"/>
      <c r="E70" s="47"/>
      <c r="F70" s="47"/>
      <c r="G70" s="46"/>
      <c r="H70" s="14"/>
      <c r="I70" s="4"/>
      <c r="J70" s="117"/>
      <c r="K70" s="117"/>
      <c r="L70" s="117"/>
      <c r="M70" s="117"/>
      <c r="N70" s="117"/>
      <c r="O70" s="43" t="s">
        <v>50</v>
      </c>
      <c r="P70" s="135"/>
      <c r="Q70" s="135"/>
      <c r="R70" s="1"/>
      <c r="S70" s="1"/>
      <c r="T70" s="1"/>
    </row>
    <row r="71" spans="1:22" outlineLevel="1" x14ac:dyDescent="0.25">
      <c r="A71" s="22" t="str">
        <f>"TBN, Student Worker ("&amp;J71&amp;")"</f>
        <v>TBN, Student Worker (0)</v>
      </c>
      <c r="B71" s="47"/>
      <c r="C71" s="47"/>
      <c r="D71" s="48"/>
      <c r="E71" s="48"/>
      <c r="F71" s="48"/>
      <c r="G71" s="46"/>
      <c r="H71" s="14"/>
      <c r="I71" s="4" t="s">
        <v>49</v>
      </c>
      <c r="J71" s="276">
        <v>0</v>
      </c>
      <c r="K71" s="117"/>
      <c r="L71" s="117"/>
      <c r="M71" s="117"/>
      <c r="N71" s="117"/>
      <c r="O71" s="318">
        <v>0</v>
      </c>
      <c r="P71" s="135"/>
      <c r="Q71" s="135"/>
      <c r="R71" s="1"/>
      <c r="S71" s="1"/>
      <c r="T71" s="1"/>
    </row>
    <row r="72" spans="1:22" outlineLevel="1" x14ac:dyDescent="0.25">
      <c r="A72" s="13" t="str">
        <f>J72&amp;" hours per student @ $"&amp;O71&amp;"/hour"</f>
        <v xml:space="preserve"> hours per student @ $0/hour</v>
      </c>
      <c r="B72" s="47">
        <f>J71*J72*O71</f>
        <v>0</v>
      </c>
      <c r="C72" s="47">
        <f>IF($J$5&gt;1,$J$71*K72*$O$71*(1+$O$5),0)</f>
        <v>0</v>
      </c>
      <c r="D72" s="47">
        <f>IF($J$5&gt;2,$J$71*L72*$O$71*(1+$O$5)^2,0)</f>
        <v>0</v>
      </c>
      <c r="E72" s="47">
        <f>IF($J$5&gt;3,$J$71*M72*$O$71*(1+$O$5)^3,0)</f>
        <v>0</v>
      </c>
      <c r="F72" s="47">
        <f>IF($J$5&gt;4,$J$71*N72*$O$71*(1+$O$5)^4,0)</f>
        <v>0</v>
      </c>
      <c r="G72" s="46">
        <f>SUM(B72:F72)</f>
        <v>0</v>
      </c>
      <c r="H72" s="14"/>
      <c r="I72" s="20" t="s">
        <v>56</v>
      </c>
      <c r="J72" s="317"/>
      <c r="K72" s="316">
        <f t="shared" ref="K72" si="49">IF($J$5&gt;1,J72,0)</f>
        <v>0</v>
      </c>
      <c r="L72" s="317">
        <f t="shared" ref="L72" si="50">IF($J$5&gt;2,K72,0)</f>
        <v>0</v>
      </c>
      <c r="M72" s="317">
        <f t="shared" ref="M72" si="51">IF($J$5&gt;3,L72,0)</f>
        <v>0</v>
      </c>
      <c r="N72" s="317">
        <f t="shared" ref="N72" si="52">IF($J$5&gt;4,M72,0)</f>
        <v>0</v>
      </c>
      <c r="O72" s="21"/>
      <c r="P72" s="135"/>
      <c r="Q72" s="135"/>
      <c r="R72" s="1"/>
      <c r="S72" s="1"/>
      <c r="T72" s="1"/>
    </row>
    <row r="73" spans="1:22" outlineLevel="1" x14ac:dyDescent="0.25">
      <c r="A73" s="13"/>
      <c r="B73" s="47"/>
      <c r="C73" s="47"/>
      <c r="D73" s="47"/>
      <c r="E73" s="47"/>
      <c r="F73" s="47"/>
      <c r="G73" s="46"/>
      <c r="H73" s="14"/>
      <c r="I73" s="4"/>
      <c r="J73" s="117"/>
      <c r="K73" s="117"/>
      <c r="L73" s="117"/>
      <c r="M73" s="117"/>
      <c r="N73" s="117"/>
      <c r="O73" s="43" t="s">
        <v>50</v>
      </c>
      <c r="P73" s="135"/>
      <c r="Q73" s="135"/>
      <c r="R73" s="1"/>
      <c r="S73" s="1"/>
      <c r="T73" s="1"/>
    </row>
    <row r="74" spans="1:22" outlineLevel="1" x14ac:dyDescent="0.25">
      <c r="A74" s="22" t="str">
        <f>"TBN, Student Worker ("&amp;J74&amp;")"</f>
        <v>TBN, Student Worker (0)</v>
      </c>
      <c r="B74" s="47"/>
      <c r="C74" s="47"/>
      <c r="D74" s="48"/>
      <c r="E74" s="48"/>
      <c r="F74" s="48"/>
      <c r="G74" s="46"/>
      <c r="H74" s="14"/>
      <c r="I74" s="4" t="s">
        <v>49</v>
      </c>
      <c r="J74" s="276">
        <v>0</v>
      </c>
      <c r="K74" s="117"/>
      <c r="L74" s="117"/>
      <c r="M74" s="117"/>
      <c r="N74" s="117"/>
      <c r="O74" s="318">
        <v>0</v>
      </c>
      <c r="P74" s="135"/>
      <c r="Q74" s="135"/>
      <c r="R74" s="1"/>
      <c r="S74" s="1"/>
      <c r="T74" s="1"/>
    </row>
    <row r="75" spans="1:22" outlineLevel="1" x14ac:dyDescent="0.25">
      <c r="A75" s="13" t="str">
        <f>J75&amp;" hours per student @ $"&amp;O74&amp;"/hour"</f>
        <v xml:space="preserve"> hours per student @ $0/hour</v>
      </c>
      <c r="B75" s="47">
        <f>J74*J75*O74</f>
        <v>0</v>
      </c>
      <c r="C75" s="47">
        <f>IF($J$5&gt;1,$J$74*K75*$O$74*(1+$O$5),0)</f>
        <v>0</v>
      </c>
      <c r="D75" s="47">
        <f>IF($J$5&gt;2,$J$74*L75*$O$74*(1+$O$5)^2,0)</f>
        <v>0</v>
      </c>
      <c r="E75" s="47">
        <f>IF($J$5&gt;3,$J$74*M75*$O$74*(1+$O$5)^3,0)</f>
        <v>0</v>
      </c>
      <c r="F75" s="47">
        <f>IF($J$5&gt;4,$J$74*N75*$O$74*(1+$O$5)^4,0)</f>
        <v>0</v>
      </c>
      <c r="G75" s="46">
        <f>SUM(B75:F75)</f>
        <v>0</v>
      </c>
      <c r="H75" s="14"/>
      <c r="I75" s="20" t="s">
        <v>56</v>
      </c>
      <c r="J75" s="317"/>
      <c r="K75" s="316">
        <f t="shared" ref="K75" si="53">IF($J$5&gt;1,J75,0)</f>
        <v>0</v>
      </c>
      <c r="L75" s="317">
        <f t="shared" ref="L75" si="54">IF($J$5&gt;2,K75,0)</f>
        <v>0</v>
      </c>
      <c r="M75" s="317">
        <f t="shared" ref="M75" si="55">IF($J$5&gt;3,L75,0)</f>
        <v>0</v>
      </c>
      <c r="N75" s="317">
        <f t="shared" ref="N75" si="56">IF($J$5&gt;4,M75,0)</f>
        <v>0</v>
      </c>
      <c r="O75" s="21"/>
      <c r="P75" s="135"/>
      <c r="Q75" s="135"/>
      <c r="R75" s="1"/>
      <c r="S75" s="1"/>
      <c r="T75" s="1"/>
    </row>
    <row r="76" spans="1:22" outlineLevel="1" x14ac:dyDescent="0.25">
      <c r="A76" s="96" t="s">
        <v>0</v>
      </c>
      <c r="B76" s="53">
        <f>ROUND(SUM(B8:B75),0)</f>
        <v>0</v>
      </c>
      <c r="C76" s="53">
        <f t="shared" ref="C76:F76" si="57">ROUND(SUM(C8:C75),0)</f>
        <v>0</v>
      </c>
      <c r="D76" s="53">
        <f t="shared" si="57"/>
        <v>0</v>
      </c>
      <c r="E76" s="53">
        <f t="shared" si="57"/>
        <v>0</v>
      </c>
      <c r="F76" s="53">
        <f t="shared" si="57"/>
        <v>0</v>
      </c>
      <c r="G76" s="53">
        <f>SUM(B76:F76)</f>
        <v>0</v>
      </c>
      <c r="H76" s="24"/>
      <c r="R76" s="1"/>
      <c r="S76" s="1"/>
      <c r="T76" s="1"/>
      <c r="V76" s="80"/>
    </row>
    <row r="77" spans="1:22" outlineLevel="1" x14ac:dyDescent="0.25">
      <c r="B77" s="52"/>
      <c r="C77" s="52"/>
      <c r="D77" s="48"/>
      <c r="E77" s="48"/>
      <c r="F77" s="48"/>
      <c r="G77" s="46"/>
      <c r="R77" s="1"/>
      <c r="S77" s="1"/>
      <c r="T77" s="1"/>
      <c r="V77" s="80"/>
    </row>
    <row r="78" spans="1:22" outlineLevel="1" x14ac:dyDescent="0.25">
      <c r="A78" s="98" t="s">
        <v>4</v>
      </c>
      <c r="B78" s="52"/>
      <c r="C78" s="52"/>
      <c r="D78" s="48"/>
      <c r="E78" s="48"/>
      <c r="F78" s="48"/>
      <c r="G78" s="46"/>
      <c r="R78" s="1"/>
      <c r="S78" s="1"/>
      <c r="T78" s="1"/>
      <c r="V78" s="80"/>
    </row>
    <row r="79" spans="1:22" outlineLevel="1" x14ac:dyDescent="0.25">
      <c r="A79" s="87" t="str">
        <f>I79&amp;ROUND(J79*100,2)&amp;"%"</f>
        <v>Employees @ 0%</v>
      </c>
      <c r="B79" s="319">
        <f>SUM(B8:B40)*$J$79</f>
        <v>0</v>
      </c>
      <c r="C79" s="319">
        <f>SUM(C8:C40)*$J$79</f>
        <v>0</v>
      </c>
      <c r="D79" s="319">
        <f>SUM(D8:D40)*$J$79</f>
        <v>0</v>
      </c>
      <c r="E79" s="319">
        <f>SUM(E8:E40)*$J$79</f>
        <v>0</v>
      </c>
      <c r="F79" s="319">
        <f>SUM(F8:F40)*$J$79</f>
        <v>0</v>
      </c>
      <c r="G79" s="54">
        <f>SUM(B79:F79)</f>
        <v>0</v>
      </c>
      <c r="H79" s="3"/>
      <c r="I79" s="278" t="s">
        <v>152</v>
      </c>
      <c r="J79" s="279">
        <v>0</v>
      </c>
      <c r="K79" s="142"/>
      <c r="L79" s="142"/>
      <c r="M79" s="142"/>
      <c r="N79" s="142"/>
      <c r="R79" s="1"/>
      <c r="S79" s="1"/>
      <c r="T79" s="1"/>
      <c r="V79" s="80"/>
    </row>
    <row r="80" spans="1:22" outlineLevel="1" x14ac:dyDescent="0.25">
      <c r="A80" s="87" t="str">
        <f t="shared" ref="A80:A82" si="58">I80&amp;ROUND(J80*100,2)&amp;"%"</f>
        <v>Post-docs @ 0%</v>
      </c>
      <c r="B80" s="319">
        <f>SUM(B45:B51)*$J$80</f>
        <v>0</v>
      </c>
      <c r="C80" s="319">
        <f>SUM(C45:C51)*$J$80</f>
        <v>0</v>
      </c>
      <c r="D80" s="319">
        <f>SUM(D45:D51)*$J$80</f>
        <v>0</v>
      </c>
      <c r="E80" s="319">
        <f>SUM(E45:E51)*$J$80</f>
        <v>0</v>
      </c>
      <c r="F80" s="319">
        <f>SUM(F45:F51)*$J$80</f>
        <v>0</v>
      </c>
      <c r="G80" s="54">
        <f t="shared" ref="G80:G82" si="59">SUM(B80:F80)</f>
        <v>0</v>
      </c>
      <c r="H80" s="3"/>
      <c r="I80" s="278" t="s">
        <v>153</v>
      </c>
      <c r="J80" s="279">
        <v>0</v>
      </c>
      <c r="K80" s="142"/>
      <c r="L80" s="142"/>
      <c r="M80" s="142"/>
      <c r="N80" s="142"/>
      <c r="R80" s="1"/>
      <c r="S80" s="1"/>
      <c r="T80" s="1"/>
      <c r="V80" s="80"/>
    </row>
    <row r="81" spans="1:22" outlineLevel="1" x14ac:dyDescent="0.25">
      <c r="A81" s="87" t="str">
        <f t="shared" si="58"/>
        <v>Graduate Assistants @ 0%</v>
      </c>
      <c r="B81" s="319">
        <f>SUM(B54:B66)*$J$81</f>
        <v>0</v>
      </c>
      <c r="C81" s="319">
        <f>SUM(C54:C66)*$J$81</f>
        <v>0</v>
      </c>
      <c r="D81" s="319">
        <f>SUM(D54:D66)*$J$81</f>
        <v>0</v>
      </c>
      <c r="E81" s="319">
        <f>SUM(E54:E66)*$J$81</f>
        <v>0</v>
      </c>
      <c r="F81" s="319">
        <f>SUM(F54:F66)*$J$81</f>
        <v>0</v>
      </c>
      <c r="G81" s="54">
        <f t="shared" si="59"/>
        <v>0</v>
      </c>
      <c r="H81" s="3"/>
      <c r="I81" s="278" t="s">
        <v>148</v>
      </c>
      <c r="J81" s="279">
        <v>0</v>
      </c>
      <c r="K81" s="142"/>
      <c r="L81" s="142"/>
      <c r="M81" s="142"/>
      <c r="N81" s="142"/>
      <c r="R81" s="1"/>
      <c r="S81" s="1"/>
      <c r="T81" s="1"/>
      <c r="V81" s="80"/>
    </row>
    <row r="82" spans="1:22" outlineLevel="1" x14ac:dyDescent="0.25">
      <c r="A82" s="87" t="str">
        <f t="shared" si="58"/>
        <v>Student Workers @0%</v>
      </c>
      <c r="B82" s="319">
        <f>SUM(B69:B75)*$J$82</f>
        <v>0</v>
      </c>
      <c r="C82" s="319">
        <f t="shared" ref="C82:F82" si="60">SUM(C69:C75)*$J$82</f>
        <v>0</v>
      </c>
      <c r="D82" s="319">
        <f t="shared" si="60"/>
        <v>0</v>
      </c>
      <c r="E82" s="319">
        <f t="shared" si="60"/>
        <v>0</v>
      </c>
      <c r="F82" s="319">
        <f t="shared" si="60"/>
        <v>0</v>
      </c>
      <c r="G82" s="54">
        <f t="shared" si="59"/>
        <v>0</v>
      </c>
      <c r="H82" s="3"/>
      <c r="I82" s="278" t="s">
        <v>145</v>
      </c>
      <c r="J82" s="279">
        <v>0</v>
      </c>
      <c r="K82" s="142"/>
      <c r="L82" s="142"/>
      <c r="M82" s="142"/>
      <c r="N82" s="142"/>
      <c r="R82" s="1"/>
      <c r="S82" s="1"/>
      <c r="T82" s="1"/>
      <c r="V82" s="80"/>
    </row>
    <row r="83" spans="1:22" outlineLevel="1" x14ac:dyDescent="0.25">
      <c r="A83" s="96" t="s">
        <v>1</v>
      </c>
      <c r="B83" s="55">
        <f>ROUND(SUM(B79:B82),0)</f>
        <v>0</v>
      </c>
      <c r="C83" s="55">
        <f t="shared" ref="C83:F83" si="61">ROUND(SUM(C79:C82),0)</f>
        <v>0</v>
      </c>
      <c r="D83" s="55">
        <f t="shared" si="61"/>
        <v>0</v>
      </c>
      <c r="E83" s="55">
        <f t="shared" si="61"/>
        <v>0</v>
      </c>
      <c r="F83" s="55">
        <f t="shared" si="61"/>
        <v>0</v>
      </c>
      <c r="G83" s="56">
        <f t="shared" ref="G83" si="62">SUM(B83:F83)</f>
        <v>0</v>
      </c>
      <c r="H83" s="3"/>
      <c r="R83" s="1"/>
      <c r="S83" s="1"/>
      <c r="T83" s="1"/>
      <c r="V83" s="80"/>
    </row>
    <row r="84" spans="1:22" outlineLevel="1" x14ac:dyDescent="0.25">
      <c r="B84" s="48"/>
      <c r="C84" s="48"/>
      <c r="D84" s="48"/>
      <c r="E84" s="48"/>
      <c r="F84" s="48"/>
      <c r="G84" s="46"/>
      <c r="R84" s="1"/>
      <c r="S84" s="1"/>
      <c r="T84" s="1"/>
      <c r="V84" s="80"/>
    </row>
    <row r="85" spans="1:22" outlineLevel="1" x14ac:dyDescent="0.25">
      <c r="A85" s="97" t="s">
        <v>95</v>
      </c>
      <c r="B85" s="57">
        <f>B76+B83</f>
        <v>0</v>
      </c>
      <c r="C85" s="57">
        <f>C76+C83</f>
        <v>0</v>
      </c>
      <c r="D85" s="57">
        <f>D76+D83</f>
        <v>0</v>
      </c>
      <c r="E85" s="57">
        <f>E76+E83</f>
        <v>0</v>
      </c>
      <c r="F85" s="57">
        <f>F76+F83</f>
        <v>0</v>
      </c>
      <c r="G85" s="58">
        <f>SUM(B85:F85)</f>
        <v>0</v>
      </c>
      <c r="H85" s="3"/>
      <c r="R85" s="1"/>
      <c r="S85" s="1"/>
      <c r="T85" s="1"/>
      <c r="V85" s="80"/>
    </row>
    <row r="86" spans="1:22" outlineLevel="1" x14ac:dyDescent="0.25">
      <c r="A86" s="2"/>
      <c r="B86" s="59"/>
      <c r="C86" s="59"/>
      <c r="D86" s="59"/>
      <c r="E86" s="59"/>
      <c r="F86" s="59"/>
      <c r="G86" s="60"/>
      <c r="H86" s="25"/>
      <c r="R86" s="1"/>
      <c r="S86" s="1"/>
      <c r="T86" s="1"/>
      <c r="V86" s="80"/>
    </row>
    <row r="87" spans="1:22" outlineLevel="1" x14ac:dyDescent="0.25">
      <c r="A87" s="95" t="s">
        <v>39</v>
      </c>
      <c r="B87" s="48"/>
      <c r="C87" s="48"/>
      <c r="D87" s="48"/>
      <c r="E87" s="48"/>
      <c r="F87" s="48"/>
      <c r="G87" s="46"/>
      <c r="R87" s="1"/>
      <c r="S87" s="1"/>
      <c r="T87" s="1"/>
      <c r="V87" s="80"/>
    </row>
    <row r="88" spans="1:22" outlineLevel="1" x14ac:dyDescent="0.25">
      <c r="A88" s="280" t="s">
        <v>41</v>
      </c>
      <c r="B88" s="281">
        <v>0</v>
      </c>
      <c r="C88" s="281">
        <v>0</v>
      </c>
      <c r="D88" s="281">
        <v>0</v>
      </c>
      <c r="E88" s="281">
        <v>0</v>
      </c>
      <c r="F88" s="281">
        <v>0</v>
      </c>
      <c r="G88" s="46">
        <f>SUM(B88:F88)</f>
        <v>0</v>
      </c>
      <c r="H88" s="14"/>
      <c r="R88" s="1"/>
      <c r="S88" s="1"/>
      <c r="T88" s="1"/>
      <c r="V88" s="80"/>
    </row>
    <row r="89" spans="1:22" outlineLevel="1" x14ac:dyDescent="0.25">
      <c r="A89" s="280" t="s">
        <v>42</v>
      </c>
      <c r="B89" s="281">
        <v>0</v>
      </c>
      <c r="C89" s="281">
        <v>0</v>
      </c>
      <c r="D89" s="281">
        <v>0</v>
      </c>
      <c r="E89" s="281">
        <v>0</v>
      </c>
      <c r="F89" s="281">
        <v>0</v>
      </c>
      <c r="G89" s="46">
        <f>SUM(B89:F89)</f>
        <v>0</v>
      </c>
      <c r="H89" s="14"/>
      <c r="R89" s="1"/>
      <c r="S89" s="1"/>
      <c r="T89" s="1"/>
      <c r="V89" s="80"/>
    </row>
    <row r="90" spans="1:22" outlineLevel="1" x14ac:dyDescent="0.25">
      <c r="A90" s="280" t="s">
        <v>43</v>
      </c>
      <c r="B90" s="281">
        <v>0</v>
      </c>
      <c r="C90" s="281">
        <v>0</v>
      </c>
      <c r="D90" s="281">
        <v>0</v>
      </c>
      <c r="E90" s="281">
        <v>0</v>
      </c>
      <c r="F90" s="281">
        <v>0</v>
      </c>
      <c r="G90" s="46">
        <f>SUM(B90:F90)</f>
        <v>0</v>
      </c>
      <c r="H90" s="14"/>
      <c r="R90" s="1"/>
      <c r="S90" s="1"/>
      <c r="T90" s="1"/>
      <c r="V90" s="80"/>
    </row>
    <row r="91" spans="1:22" outlineLevel="1" x14ac:dyDescent="0.25">
      <c r="A91" s="96" t="s">
        <v>40</v>
      </c>
      <c r="B91" s="53">
        <f>ROUND(SUM(B88:B90),0)</f>
        <v>0</v>
      </c>
      <c r="C91" s="53">
        <f t="shared" ref="C91:F91" si="63">ROUND(SUM(C88:C90),0)</f>
        <v>0</v>
      </c>
      <c r="D91" s="53">
        <f t="shared" si="63"/>
        <v>0</v>
      </c>
      <c r="E91" s="53">
        <f t="shared" si="63"/>
        <v>0</v>
      </c>
      <c r="F91" s="53">
        <f t="shared" si="63"/>
        <v>0</v>
      </c>
      <c r="G91" s="53">
        <f>SUM(B91:F91)</f>
        <v>0</v>
      </c>
      <c r="H91" s="24"/>
      <c r="R91" s="1"/>
      <c r="S91" s="1"/>
      <c r="T91" s="1"/>
      <c r="V91" s="80"/>
    </row>
    <row r="92" spans="1:22" outlineLevel="1" x14ac:dyDescent="0.25">
      <c r="B92" s="52"/>
      <c r="C92" s="52"/>
      <c r="D92" s="48"/>
      <c r="E92" s="48"/>
      <c r="F92" s="48"/>
      <c r="G92" s="46"/>
      <c r="R92" s="1"/>
      <c r="S92" s="1"/>
      <c r="T92" s="1"/>
      <c r="V92" s="80"/>
    </row>
    <row r="93" spans="1:22" outlineLevel="1" x14ac:dyDescent="0.25">
      <c r="A93" s="98" t="s">
        <v>11</v>
      </c>
      <c r="B93" s="60"/>
      <c r="C93" s="60"/>
      <c r="D93" s="60"/>
      <c r="E93" s="60"/>
      <c r="F93" s="60"/>
      <c r="G93" s="60"/>
      <c r="H93" s="25"/>
      <c r="R93" s="1"/>
      <c r="S93" s="1"/>
      <c r="T93" s="1"/>
      <c r="V93" s="80"/>
    </row>
    <row r="94" spans="1:22" outlineLevel="1" x14ac:dyDescent="0.25">
      <c r="A94" s="13" t="s">
        <v>98</v>
      </c>
      <c r="B94" s="320">
        <v>0</v>
      </c>
      <c r="C94" s="320">
        <v>0</v>
      </c>
      <c r="D94" s="320">
        <v>0</v>
      </c>
      <c r="E94" s="320">
        <v>0</v>
      </c>
      <c r="F94" s="320">
        <v>0</v>
      </c>
      <c r="G94" s="60">
        <f>SUM(B94:F94)</f>
        <v>0</v>
      </c>
      <c r="H94" s="25"/>
      <c r="R94" s="1"/>
      <c r="S94" s="1"/>
      <c r="T94" s="1"/>
      <c r="V94" s="80"/>
    </row>
    <row r="95" spans="1:22" outlineLevel="1" x14ac:dyDescent="0.25">
      <c r="A95" s="13" t="s">
        <v>99</v>
      </c>
      <c r="B95" s="320">
        <v>0</v>
      </c>
      <c r="C95" s="320">
        <v>0</v>
      </c>
      <c r="D95" s="320">
        <v>0</v>
      </c>
      <c r="E95" s="320">
        <v>0</v>
      </c>
      <c r="F95" s="320">
        <v>0</v>
      </c>
      <c r="G95" s="60">
        <f>SUM(B95:F95)</f>
        <v>0</v>
      </c>
      <c r="H95" s="25"/>
      <c r="R95" s="1"/>
      <c r="S95" s="1"/>
      <c r="T95" s="1"/>
      <c r="V95" s="80"/>
    </row>
    <row r="96" spans="1:22" outlineLevel="1" x14ac:dyDescent="0.25">
      <c r="A96" s="96" t="s">
        <v>12</v>
      </c>
      <c r="B96" s="62">
        <f>ROUND(SUM(B94:B95),0)</f>
        <v>0</v>
      </c>
      <c r="C96" s="62">
        <f t="shared" ref="C96:F96" si="64">ROUND(SUM(C94:C95),0)</f>
        <v>0</v>
      </c>
      <c r="D96" s="62">
        <f t="shared" si="64"/>
        <v>0</v>
      </c>
      <c r="E96" s="62">
        <f t="shared" si="64"/>
        <v>0</v>
      </c>
      <c r="F96" s="62">
        <f t="shared" si="64"/>
        <v>0</v>
      </c>
      <c r="G96" s="53">
        <f>SUM(B96:F96)</f>
        <v>0</v>
      </c>
      <c r="H96" s="24"/>
      <c r="R96" s="1"/>
      <c r="S96" s="1"/>
      <c r="T96" s="1"/>
      <c r="V96" s="80"/>
    </row>
    <row r="97" spans="1:22" outlineLevel="1" x14ac:dyDescent="0.25">
      <c r="B97" s="48"/>
      <c r="C97" s="48"/>
      <c r="D97" s="48"/>
      <c r="E97" s="48"/>
      <c r="F97" s="48"/>
      <c r="G97" s="46"/>
      <c r="R97" s="1"/>
      <c r="S97" s="1"/>
      <c r="T97" s="1"/>
      <c r="V97" s="80"/>
    </row>
    <row r="98" spans="1:22" outlineLevel="1" x14ac:dyDescent="0.25">
      <c r="A98" s="2" t="s">
        <v>44</v>
      </c>
      <c r="B98" s="48"/>
      <c r="C98" s="48"/>
      <c r="D98" s="48"/>
      <c r="E98" s="48"/>
      <c r="F98" s="48"/>
      <c r="G98" s="46"/>
      <c r="R98" s="1"/>
      <c r="S98" s="1"/>
      <c r="T98" s="1"/>
      <c r="V98" s="80"/>
    </row>
    <row r="99" spans="1:22" outlineLevel="1" x14ac:dyDescent="0.25">
      <c r="A99" s="35" t="s">
        <v>44</v>
      </c>
      <c r="B99" s="321">
        <v>0</v>
      </c>
      <c r="C99" s="321">
        <v>0</v>
      </c>
      <c r="D99" s="321">
        <v>0</v>
      </c>
      <c r="E99" s="321">
        <v>0</v>
      </c>
      <c r="F99" s="321">
        <v>0</v>
      </c>
      <c r="G99" s="54">
        <f>SUM(B99:F99)</f>
        <v>0</v>
      </c>
      <c r="R99" s="1"/>
      <c r="S99" s="1"/>
      <c r="T99" s="1"/>
      <c r="V99" s="80"/>
    </row>
    <row r="100" spans="1:22" x14ac:dyDescent="0.25">
      <c r="A100" s="96" t="s">
        <v>161</v>
      </c>
      <c r="B100" s="62">
        <f>ROUND(SUM(B99),0)</f>
        <v>0</v>
      </c>
      <c r="C100" s="62">
        <f t="shared" ref="C100:F100" si="65">ROUND(SUM(C99),0)</f>
        <v>0</v>
      </c>
      <c r="D100" s="62">
        <f t="shared" si="65"/>
        <v>0</v>
      </c>
      <c r="E100" s="62">
        <f t="shared" si="65"/>
        <v>0</v>
      </c>
      <c r="F100" s="62">
        <f t="shared" si="65"/>
        <v>0</v>
      </c>
      <c r="G100" s="53">
        <f>SUM(B100:F100)</f>
        <v>0</v>
      </c>
      <c r="H100" s="24"/>
      <c r="P100" s="135"/>
      <c r="Q100" s="135"/>
      <c r="R100" s="1"/>
      <c r="S100" s="1"/>
      <c r="T100" s="1"/>
    </row>
    <row r="101" spans="1:22" outlineLevel="1" x14ac:dyDescent="0.25">
      <c r="B101" s="48"/>
      <c r="C101" s="48"/>
      <c r="D101" s="48"/>
      <c r="E101" s="48"/>
      <c r="F101" s="48"/>
      <c r="G101" s="46"/>
      <c r="R101" s="1"/>
      <c r="S101" s="1"/>
      <c r="T101" s="1"/>
      <c r="V101" s="80"/>
    </row>
    <row r="102" spans="1:22" x14ac:dyDescent="0.25">
      <c r="A102" s="100" t="s">
        <v>33</v>
      </c>
      <c r="B102" s="59"/>
      <c r="C102" s="59"/>
      <c r="D102" s="48"/>
      <c r="E102" s="48"/>
      <c r="F102" s="48"/>
      <c r="G102" s="46"/>
      <c r="R102" s="1"/>
      <c r="S102" s="1"/>
      <c r="T102" s="1"/>
      <c r="V102" s="80"/>
    </row>
    <row r="103" spans="1:22" x14ac:dyDescent="0.25">
      <c r="A103" s="35" t="s">
        <v>31</v>
      </c>
      <c r="B103" s="321">
        <f>SUM(J52,J57,J62)</f>
        <v>0</v>
      </c>
      <c r="C103" s="321">
        <f t="shared" ref="C103:F103" si="66">SUM(K52,K57,K62)</f>
        <v>0</v>
      </c>
      <c r="D103" s="321">
        <f t="shared" si="66"/>
        <v>0</v>
      </c>
      <c r="E103" s="321">
        <f t="shared" si="66"/>
        <v>0</v>
      </c>
      <c r="F103" s="321">
        <f t="shared" si="66"/>
        <v>0</v>
      </c>
      <c r="G103" s="54">
        <f>SUM(B103:F103)</f>
        <v>0</v>
      </c>
      <c r="R103" s="1"/>
      <c r="S103" s="1"/>
      <c r="T103" s="1"/>
      <c r="V103" s="80"/>
    </row>
    <row r="104" spans="1:22" x14ac:dyDescent="0.25">
      <c r="A104" s="35" t="s">
        <v>97</v>
      </c>
      <c r="B104" s="322">
        <v>0</v>
      </c>
      <c r="C104" s="322">
        <v>0</v>
      </c>
      <c r="D104" s="322">
        <v>0</v>
      </c>
      <c r="E104" s="322">
        <v>0</v>
      </c>
      <c r="F104" s="322">
        <v>0</v>
      </c>
      <c r="G104" s="54">
        <f>SUM(B104:F104)</f>
        <v>0</v>
      </c>
      <c r="H104" s="3"/>
      <c r="R104" s="1"/>
      <c r="S104" s="1"/>
      <c r="T104" s="1"/>
      <c r="V104" s="80"/>
    </row>
    <row r="105" spans="1:22" outlineLevel="1" x14ac:dyDescent="0.25">
      <c r="A105" s="35"/>
      <c r="B105" s="64"/>
      <c r="C105" s="64"/>
      <c r="D105" s="64"/>
      <c r="E105" s="64"/>
      <c r="F105" s="64"/>
      <c r="G105" s="54"/>
      <c r="R105" s="1"/>
      <c r="S105" s="1"/>
      <c r="T105" s="1"/>
      <c r="V105" s="80"/>
    </row>
    <row r="106" spans="1:22" outlineLevel="1" x14ac:dyDescent="0.25">
      <c r="A106" s="323" t="s">
        <v>88</v>
      </c>
      <c r="B106" s="281">
        <v>0</v>
      </c>
      <c r="C106" s="281">
        <v>0</v>
      </c>
      <c r="D106" s="281">
        <v>0</v>
      </c>
      <c r="E106" s="281">
        <v>0</v>
      </c>
      <c r="F106" s="281">
        <v>0</v>
      </c>
      <c r="G106" s="46">
        <f>SUM(B106:F106)</f>
        <v>0</v>
      </c>
      <c r="H106" s="14"/>
      <c r="R106" s="1"/>
      <c r="S106" s="1"/>
      <c r="T106" s="1"/>
      <c r="V106" s="80"/>
    </row>
    <row r="107" spans="1:22" outlineLevel="1" x14ac:dyDescent="0.25">
      <c r="A107" s="323" t="s">
        <v>89</v>
      </c>
      <c r="B107" s="281">
        <v>0</v>
      </c>
      <c r="C107" s="281">
        <v>0</v>
      </c>
      <c r="D107" s="281">
        <v>0</v>
      </c>
      <c r="E107" s="281">
        <v>0</v>
      </c>
      <c r="F107" s="281">
        <v>0</v>
      </c>
      <c r="G107" s="46">
        <f t="shared" ref="G107:G111" si="67">SUM(B107:F107)</f>
        <v>0</v>
      </c>
      <c r="H107" s="14"/>
      <c r="R107" s="1"/>
      <c r="S107" s="1"/>
      <c r="T107" s="1"/>
      <c r="V107" s="80"/>
    </row>
    <row r="108" spans="1:22" x14ac:dyDescent="0.25">
      <c r="A108" s="323" t="s">
        <v>90</v>
      </c>
      <c r="B108" s="281">
        <v>0</v>
      </c>
      <c r="C108" s="281">
        <v>0</v>
      </c>
      <c r="D108" s="281">
        <v>0</v>
      </c>
      <c r="E108" s="281">
        <v>0</v>
      </c>
      <c r="F108" s="281">
        <v>0</v>
      </c>
      <c r="G108" s="46">
        <f t="shared" si="67"/>
        <v>0</v>
      </c>
      <c r="H108" s="14"/>
      <c r="R108" s="1"/>
      <c r="S108" s="1"/>
      <c r="T108" s="1"/>
      <c r="V108" s="80"/>
    </row>
    <row r="109" spans="1:22" x14ac:dyDescent="0.25">
      <c r="A109" s="323" t="s">
        <v>91</v>
      </c>
      <c r="B109" s="281">
        <v>0</v>
      </c>
      <c r="C109" s="281">
        <v>0</v>
      </c>
      <c r="D109" s="281">
        <v>0</v>
      </c>
      <c r="E109" s="281">
        <v>0</v>
      </c>
      <c r="F109" s="281">
        <v>0</v>
      </c>
      <c r="G109" s="46">
        <f t="shared" si="67"/>
        <v>0</v>
      </c>
      <c r="H109" s="14"/>
      <c r="R109" s="1"/>
      <c r="S109" s="1"/>
      <c r="T109" s="1"/>
      <c r="V109" s="80"/>
    </row>
    <row r="110" spans="1:22" x14ac:dyDescent="0.25">
      <c r="A110" s="323" t="s">
        <v>102</v>
      </c>
      <c r="B110" s="281">
        <v>0</v>
      </c>
      <c r="C110" s="281">
        <v>0</v>
      </c>
      <c r="D110" s="281">
        <v>0</v>
      </c>
      <c r="E110" s="281">
        <v>0</v>
      </c>
      <c r="F110" s="281">
        <v>0</v>
      </c>
      <c r="G110" s="46">
        <f t="shared" si="67"/>
        <v>0</v>
      </c>
      <c r="H110" s="14"/>
      <c r="R110" s="1"/>
      <c r="S110" s="1"/>
      <c r="T110" s="1"/>
      <c r="V110" s="80"/>
    </row>
    <row r="111" spans="1:22" outlineLevel="1" x14ac:dyDescent="0.25">
      <c r="A111" s="324" t="s">
        <v>103</v>
      </c>
      <c r="B111" s="281">
        <v>0</v>
      </c>
      <c r="C111" s="281">
        <v>0</v>
      </c>
      <c r="D111" s="281">
        <v>0</v>
      </c>
      <c r="E111" s="281">
        <v>0</v>
      </c>
      <c r="F111" s="281">
        <v>0</v>
      </c>
      <c r="G111" s="46">
        <f t="shared" si="67"/>
        <v>0</v>
      </c>
      <c r="H111" s="14"/>
      <c r="R111" s="1"/>
      <c r="S111" s="1"/>
      <c r="T111" s="1"/>
      <c r="V111" s="80"/>
    </row>
    <row r="112" spans="1:22" outlineLevel="1" x14ac:dyDescent="0.25">
      <c r="A112" s="101" t="s">
        <v>87</v>
      </c>
      <c r="B112" s="50">
        <f>SUM(B106:B111)</f>
        <v>0</v>
      </c>
      <c r="C112" s="50">
        <f t="shared" ref="C112:F112" si="68">SUM(C106:C111)</f>
        <v>0</v>
      </c>
      <c r="D112" s="50">
        <f t="shared" si="68"/>
        <v>0</v>
      </c>
      <c r="E112" s="50">
        <f t="shared" si="68"/>
        <v>0</v>
      </c>
      <c r="F112" s="50">
        <f t="shared" si="68"/>
        <v>0</v>
      </c>
      <c r="G112" s="51">
        <f>SUM(B112:F112)</f>
        <v>0</v>
      </c>
      <c r="H112" s="24"/>
      <c r="R112" s="1"/>
      <c r="S112" s="1"/>
      <c r="T112" s="1"/>
      <c r="V112" s="80"/>
    </row>
    <row r="113" spans="1:22" x14ac:dyDescent="0.25">
      <c r="A113" s="36"/>
      <c r="B113" s="65"/>
      <c r="C113" s="65"/>
      <c r="D113" s="65"/>
      <c r="E113" s="65"/>
      <c r="F113" s="65"/>
      <c r="G113" s="65"/>
      <c r="H113" s="24"/>
      <c r="R113" s="1"/>
      <c r="S113" s="1"/>
      <c r="T113" s="1"/>
      <c r="V113" s="80"/>
    </row>
    <row r="114" spans="1:22" x14ac:dyDescent="0.25">
      <c r="A114" s="102" t="s">
        <v>38</v>
      </c>
      <c r="B114" s="62">
        <f>ROUND(SUM(B103:B104,B112),0)</f>
        <v>0</v>
      </c>
      <c r="C114" s="62">
        <f t="shared" ref="C114:F114" si="69">ROUND(SUM(C103:C104,C112),0)</f>
        <v>0</v>
      </c>
      <c r="D114" s="62">
        <f t="shared" si="69"/>
        <v>0</v>
      </c>
      <c r="E114" s="62">
        <f t="shared" si="69"/>
        <v>0</v>
      </c>
      <c r="F114" s="62">
        <f t="shared" si="69"/>
        <v>0</v>
      </c>
      <c r="G114" s="53">
        <f>SUM(B114:F114)</f>
        <v>0</v>
      </c>
      <c r="H114" s="24"/>
      <c r="R114" s="1"/>
      <c r="S114" s="1"/>
      <c r="T114" s="1"/>
      <c r="V114" s="80"/>
    </row>
    <row r="115" spans="1:22" x14ac:dyDescent="0.25">
      <c r="A115" s="37"/>
      <c r="B115" s="66"/>
      <c r="C115" s="66"/>
      <c r="D115" s="67"/>
      <c r="E115" s="67"/>
      <c r="F115" s="67"/>
      <c r="G115" s="54"/>
      <c r="R115" s="1"/>
      <c r="S115" s="1"/>
      <c r="T115" s="1"/>
      <c r="V115" s="80"/>
    </row>
    <row r="116" spans="1:22" outlineLevel="1" x14ac:dyDescent="0.25">
      <c r="A116" s="103" t="s">
        <v>92</v>
      </c>
      <c r="B116" s="92">
        <f>B118-B107-B109-B111</f>
        <v>0</v>
      </c>
      <c r="C116" s="92">
        <f t="shared" ref="C116:F116" si="70">C118-C107-C109-C111</f>
        <v>0</v>
      </c>
      <c r="D116" s="92">
        <f t="shared" si="70"/>
        <v>0</v>
      </c>
      <c r="E116" s="92">
        <f t="shared" si="70"/>
        <v>0</v>
      </c>
      <c r="F116" s="92">
        <f t="shared" si="70"/>
        <v>0</v>
      </c>
      <c r="G116" s="93">
        <f>SUM(B116:F116)</f>
        <v>0</v>
      </c>
      <c r="R116" s="1"/>
      <c r="S116" s="1"/>
      <c r="T116" s="1"/>
      <c r="V116" s="80"/>
    </row>
    <row r="117" spans="1:22" outlineLevel="1" x14ac:dyDescent="0.25">
      <c r="A117" s="37"/>
      <c r="B117" s="66"/>
      <c r="C117" s="66"/>
      <c r="D117" s="67"/>
      <c r="E117" s="67"/>
      <c r="F117" s="67"/>
      <c r="G117" s="54"/>
      <c r="R117" s="1"/>
      <c r="S117" s="1"/>
      <c r="T117" s="1"/>
      <c r="V117" s="80"/>
    </row>
    <row r="118" spans="1:22" outlineLevel="1" x14ac:dyDescent="0.25">
      <c r="A118" s="100" t="s">
        <v>2</v>
      </c>
      <c r="B118" s="68">
        <f>SUM(B85,B91,B96,B100,B114)</f>
        <v>0</v>
      </c>
      <c r="C118" s="68">
        <f t="shared" ref="C118:F118" si="71">SUM(C85,C91,C96,C100,C114)</f>
        <v>0</v>
      </c>
      <c r="D118" s="68">
        <f t="shared" si="71"/>
        <v>0</v>
      </c>
      <c r="E118" s="68">
        <f t="shared" si="71"/>
        <v>0</v>
      </c>
      <c r="F118" s="68">
        <f t="shared" si="71"/>
        <v>0</v>
      </c>
      <c r="G118" s="54">
        <f t="shared" ref="G118:G123" si="72">SUM(B118:F118)</f>
        <v>0</v>
      </c>
      <c r="H118" s="3"/>
      <c r="R118" s="1"/>
      <c r="S118" s="1"/>
      <c r="T118" s="1"/>
      <c r="V118" s="80"/>
    </row>
    <row r="119" spans="1:22" outlineLevel="1" x14ac:dyDescent="0.25">
      <c r="A119" s="35" t="s">
        <v>45</v>
      </c>
      <c r="B119" s="81">
        <f>-B91</f>
        <v>0</v>
      </c>
      <c r="C119" s="81">
        <f>-C91</f>
        <v>0</v>
      </c>
      <c r="D119" s="81">
        <f>-D91</f>
        <v>0</v>
      </c>
      <c r="E119" s="81">
        <f>-E91</f>
        <v>0</v>
      </c>
      <c r="F119" s="81">
        <f>-F91</f>
        <v>0</v>
      </c>
      <c r="G119" s="54">
        <f t="shared" si="72"/>
        <v>0</v>
      </c>
      <c r="H119" s="3"/>
      <c r="R119" s="1"/>
      <c r="S119" s="1"/>
      <c r="T119" s="1"/>
      <c r="V119" s="80"/>
    </row>
    <row r="120" spans="1:22" outlineLevel="1" x14ac:dyDescent="0.25">
      <c r="A120" s="87" t="s">
        <v>32</v>
      </c>
      <c r="B120" s="81">
        <f>-B103</f>
        <v>0</v>
      </c>
      <c r="C120" s="81">
        <f>-C103</f>
        <v>0</v>
      </c>
      <c r="D120" s="81">
        <f>-D103</f>
        <v>0</v>
      </c>
      <c r="E120" s="68">
        <f>-E103</f>
        <v>0</v>
      </c>
      <c r="F120" s="68">
        <f>-F103</f>
        <v>0</v>
      </c>
      <c r="G120" s="54">
        <f t="shared" si="72"/>
        <v>0</v>
      </c>
      <c r="H120" s="3"/>
      <c r="R120" s="1"/>
      <c r="S120" s="1"/>
      <c r="T120" s="1"/>
      <c r="V120" s="80"/>
    </row>
    <row r="121" spans="1:22" outlineLevel="1" x14ac:dyDescent="0.25">
      <c r="A121" s="87" t="s">
        <v>47</v>
      </c>
      <c r="B121" s="91">
        <f>-B100</f>
        <v>0</v>
      </c>
      <c r="C121" s="91">
        <f t="shared" ref="C121:F121" si="73">-C100</f>
        <v>0</v>
      </c>
      <c r="D121" s="91">
        <f t="shared" si="73"/>
        <v>0</v>
      </c>
      <c r="E121" s="91">
        <f t="shared" si="73"/>
        <v>0</v>
      </c>
      <c r="F121" s="91">
        <f t="shared" si="73"/>
        <v>0</v>
      </c>
      <c r="G121" s="54">
        <f t="shared" si="72"/>
        <v>0</v>
      </c>
      <c r="H121" s="3"/>
      <c r="R121" s="1"/>
      <c r="S121" s="1"/>
      <c r="T121" s="1"/>
      <c r="V121" s="80"/>
    </row>
    <row r="122" spans="1:22" outlineLevel="1" x14ac:dyDescent="0.25">
      <c r="A122" s="87" t="s">
        <v>46</v>
      </c>
      <c r="B122" s="325">
        <v>0</v>
      </c>
      <c r="C122" s="325">
        <v>0</v>
      </c>
      <c r="D122" s="325">
        <v>0</v>
      </c>
      <c r="E122" s="325">
        <v>0</v>
      </c>
      <c r="F122" s="325">
        <v>0</v>
      </c>
      <c r="G122" s="46">
        <f t="shared" si="72"/>
        <v>0</v>
      </c>
      <c r="H122" s="3"/>
      <c r="R122" s="1"/>
      <c r="S122" s="1"/>
      <c r="T122" s="1"/>
      <c r="V122" s="80"/>
    </row>
    <row r="123" spans="1:22" x14ac:dyDescent="0.25">
      <c r="A123" s="96" t="s">
        <v>13</v>
      </c>
      <c r="B123" s="53">
        <f>ROUND(SUM(B118:B122),0)</f>
        <v>0</v>
      </c>
      <c r="C123" s="53">
        <f t="shared" ref="C123:F123" si="74">ROUND(SUM(C118:C122),0)</f>
        <v>0</v>
      </c>
      <c r="D123" s="53">
        <f t="shared" si="74"/>
        <v>0</v>
      </c>
      <c r="E123" s="53">
        <f t="shared" si="74"/>
        <v>0</v>
      </c>
      <c r="F123" s="53">
        <f t="shared" si="74"/>
        <v>0</v>
      </c>
      <c r="G123" s="51">
        <f t="shared" si="72"/>
        <v>0</v>
      </c>
      <c r="H123" s="3"/>
      <c r="P123" s="127" t="s">
        <v>134</v>
      </c>
      <c r="Q123" s="127" t="s">
        <v>133</v>
      </c>
      <c r="R123" s="1"/>
      <c r="S123" s="1"/>
      <c r="T123" s="1"/>
      <c r="V123" s="80"/>
    </row>
    <row r="124" spans="1:22" x14ac:dyDescent="0.25">
      <c r="A124" s="26"/>
      <c r="B124" s="69"/>
      <c r="C124" s="69"/>
      <c r="D124" s="48"/>
      <c r="E124" s="48"/>
      <c r="F124" s="48"/>
      <c r="G124" s="46"/>
      <c r="P124" s="139"/>
      <c r="Q124" s="135" t="s">
        <v>124</v>
      </c>
      <c r="R124" s="1"/>
      <c r="S124" s="1"/>
      <c r="T124" s="1"/>
      <c r="V124" s="80"/>
    </row>
    <row r="125" spans="1:22" x14ac:dyDescent="0.25">
      <c r="A125" s="98" t="s">
        <v>30</v>
      </c>
      <c r="B125" s="69"/>
      <c r="C125" s="69"/>
      <c r="D125" s="48"/>
      <c r="E125" s="48"/>
      <c r="F125" s="48"/>
      <c r="G125" s="46"/>
      <c r="I125" s="127" t="s">
        <v>123</v>
      </c>
      <c r="J125" s="132" t="s">
        <v>125</v>
      </c>
      <c r="P125" s="135"/>
      <c r="Q125" s="135" t="s">
        <v>135</v>
      </c>
      <c r="R125" s="1"/>
      <c r="S125" s="1"/>
      <c r="T125" s="1"/>
      <c r="V125" s="80"/>
    </row>
    <row r="126" spans="1:22" x14ac:dyDescent="0.25">
      <c r="A126" s="87" t="str">
        <f>IF(J126="TC","F&amp;A Costs @ "&amp;ROUND(I126/(1-I126),4)*100&amp;"% TDC or " &amp;I126*100&amp;"% TC", "F&amp;A Costs @ "&amp;I126*100&amp;"% "&amp;J126)</f>
        <v>F&amp;A Costs @ 0% MTDC</v>
      </c>
      <c r="B126" s="48">
        <f>IF($J$126="MTDC",(B123*$I$126),IF($J$126="TDC",(B118*$I$126),IF($J$126="TC",(B118*($I$126/(1-$I$126))))))</f>
        <v>0</v>
      </c>
      <c r="C126" s="48">
        <f t="shared" ref="C126:E126" si="75">IF($J$126="MTDC",(C123*$I$126),IF($J$126="TDC",(C118*$I$126),IF($J$126="TC",(C118*($I$126/(1-$I$126))))))</f>
        <v>0</v>
      </c>
      <c r="D126" s="48">
        <f t="shared" si="75"/>
        <v>0</v>
      </c>
      <c r="E126" s="48">
        <f t="shared" si="75"/>
        <v>0</v>
      </c>
      <c r="F126" s="48">
        <f>IF($J$126="MTDC",(F123*$I$126),IF($J$126="TDC",(F118*$I$126),IF($J$126="TC",(F118*($I$126/(1-$I$126))))))</f>
        <v>0</v>
      </c>
      <c r="G126" s="46">
        <f>SUM(B126:F126)</f>
        <v>0</v>
      </c>
      <c r="H126" s="3"/>
      <c r="I126" s="279">
        <v>0</v>
      </c>
      <c r="J126" s="278" t="s">
        <v>124</v>
      </c>
      <c r="P126" s="135"/>
      <c r="Q126" s="135" t="s">
        <v>136</v>
      </c>
      <c r="R126" s="1"/>
      <c r="S126" s="1"/>
      <c r="T126" s="1"/>
      <c r="V126" s="80"/>
    </row>
    <row r="127" spans="1:22" x14ac:dyDescent="0.25">
      <c r="A127" s="96" t="s">
        <v>53</v>
      </c>
      <c r="B127" s="53">
        <f>ROUND(SUM(B126:B126),0)</f>
        <v>0</v>
      </c>
      <c r="C127" s="53">
        <f t="shared" ref="C127:F127" si="76">ROUND(SUM(C126:C126),0)</f>
        <v>0</v>
      </c>
      <c r="D127" s="53">
        <f t="shared" si="76"/>
        <v>0</v>
      </c>
      <c r="E127" s="53">
        <f t="shared" si="76"/>
        <v>0</v>
      </c>
      <c r="F127" s="53">
        <f t="shared" si="76"/>
        <v>0</v>
      </c>
      <c r="G127" s="51">
        <f>SUM(B127:F127)</f>
        <v>0</v>
      </c>
      <c r="H127" s="3"/>
      <c r="I127" s="341" t="s">
        <v>220</v>
      </c>
      <c r="R127" s="1"/>
      <c r="S127" s="1"/>
      <c r="T127" s="1"/>
      <c r="V127" s="80"/>
    </row>
    <row r="128" spans="1:22" x14ac:dyDescent="0.25">
      <c r="A128" s="13"/>
      <c r="B128" s="48"/>
      <c r="C128" s="48"/>
      <c r="D128" s="48"/>
      <c r="E128" s="48"/>
      <c r="F128" s="48"/>
      <c r="G128" s="46"/>
      <c r="I128" s="342" t="s">
        <v>221</v>
      </c>
      <c r="R128" s="1"/>
      <c r="S128" s="1"/>
      <c r="T128" s="1"/>
      <c r="V128" s="80"/>
    </row>
    <row r="129" spans="1:22" x14ac:dyDescent="0.25">
      <c r="A129" s="97" t="s">
        <v>96</v>
      </c>
      <c r="B129" s="58">
        <f>B118+B127</f>
        <v>0</v>
      </c>
      <c r="C129" s="58">
        <f>C118+C127</f>
        <v>0</v>
      </c>
      <c r="D129" s="58">
        <f>D118+D127</f>
        <v>0</v>
      </c>
      <c r="E129" s="58">
        <f>E118+E127</f>
        <v>0</v>
      </c>
      <c r="F129" s="58">
        <f>F118+F127</f>
        <v>0</v>
      </c>
      <c r="G129" s="58">
        <f>SUM(B129:F129)</f>
        <v>0</v>
      </c>
      <c r="H129" s="3"/>
      <c r="R129" s="1"/>
      <c r="S129" s="1"/>
      <c r="T129" s="1"/>
      <c r="V129" s="80"/>
    </row>
    <row r="130" spans="1:22" ht="16.5" thickBot="1" x14ac:dyDescent="0.3">
      <c r="R130" s="1"/>
      <c r="S130" s="1"/>
      <c r="T130" s="1"/>
      <c r="V130" s="80"/>
    </row>
    <row r="131" spans="1:22" ht="45" customHeight="1" thickBot="1" x14ac:dyDescent="0.3">
      <c r="A131" s="378" t="s">
        <v>57</v>
      </c>
      <c r="B131" s="379"/>
      <c r="C131" s="379"/>
      <c r="D131" s="379"/>
      <c r="E131" s="379"/>
      <c r="F131" s="379"/>
      <c r="G131" s="380"/>
    </row>
    <row r="134" spans="1:22" x14ac:dyDescent="0.25">
      <c r="A134" s="27"/>
    </row>
  </sheetData>
  <sheetProtection formatCells="0" formatColumns="0" formatRows="0" insertRows="0" deleteColumns="0" deleteRows="0" selectLockedCells="1" sort="0"/>
  <mergeCells count="14">
    <mergeCell ref="A2:G2"/>
    <mergeCell ref="I1:O1"/>
    <mergeCell ref="A4:G4"/>
    <mergeCell ref="A131:G131"/>
    <mergeCell ref="A9:A10"/>
    <mergeCell ref="A15:A16"/>
    <mergeCell ref="A21:A22"/>
    <mergeCell ref="A27:A28"/>
    <mergeCell ref="A33:A34"/>
    <mergeCell ref="A39:A40"/>
    <mergeCell ref="A55:A56"/>
    <mergeCell ref="A60:A61"/>
    <mergeCell ref="A65:A66"/>
    <mergeCell ref="A1:G1"/>
  </mergeCells>
  <dataValidations disablePrompts="1" count="2">
    <dataValidation type="list" allowBlank="1" showInputMessage="1" showErrorMessage="1" sqref="U11 U17 U23 U29 U35 U41 U63 U58 U53" xr:uid="{00000000-0002-0000-0800-000000000000}">
      <formula1>$R$3:$R$4</formula1>
    </dataValidation>
    <dataValidation type="list" allowBlank="1" showInputMessage="1" showErrorMessage="1" sqref="J126" xr:uid="{00000000-0002-0000-0800-000001000000}">
      <formula1>$Q$124:$Q$126</formula1>
    </dataValidation>
  </dataValidations>
  <hyperlinks>
    <hyperlink ref="I128" r:id="rId1" xr:uid="{9F3BFD16-569A-4F9F-96B2-298E83784D8E}"/>
  </hyperlinks>
  <printOptions horizontalCentered="1"/>
  <pageMargins left="0.5" right="0.5" top="0.5" bottom="0.5" header="0.25" footer="0.25"/>
  <pageSetup scale="34" orientation="portrait" r:id="rId2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L119" sqref="L119"/>
    </sheetView>
  </sheetViews>
  <sheetFormatPr defaultColWidth="8.7109375" defaultRowHeight="15.75" outlineLevelRow="1" x14ac:dyDescent="0.25"/>
  <cols>
    <col min="1" max="1" width="55.7109375" style="1" customWidth="1"/>
    <col min="2" max="6" width="13.7109375" style="1" customWidth="1"/>
    <col min="7" max="7" width="14.7109375" style="2" customWidth="1"/>
    <col min="8" max="8" width="2.7109375" style="2" customWidth="1"/>
    <col min="9" max="9" width="33" style="1" customWidth="1"/>
    <col min="10" max="14" width="11.7109375" style="1" customWidth="1"/>
    <col min="15" max="15" width="14.42578125" style="1" bestFit="1" customWidth="1"/>
    <col min="16" max="16" width="6.28515625" style="1" hidden="1" customWidth="1"/>
    <col min="17" max="17" width="8.7109375" style="1" hidden="1" customWidth="1"/>
    <col min="18" max="18" width="8.7109375" style="80" hidden="1" customWidth="1"/>
    <col min="19" max="19" width="3.42578125" style="80" customWidth="1"/>
    <col min="20" max="20" width="28.42578125" style="80" bestFit="1" customWidth="1"/>
    <col min="21" max="21" width="12.7109375" style="1" customWidth="1"/>
    <col min="22" max="22" width="12" style="1" bestFit="1" customWidth="1"/>
    <col min="23" max="16384" width="8.7109375" style="1"/>
  </cols>
  <sheetData>
    <row r="1" spans="1:23" s="2" customFormat="1" ht="40.35" customHeight="1" x14ac:dyDescent="0.3">
      <c r="A1" s="39"/>
      <c r="B1" s="1"/>
      <c r="G1" s="3"/>
      <c r="I1" s="407" t="s">
        <v>18</v>
      </c>
      <c r="J1" s="408"/>
      <c r="K1" s="408"/>
      <c r="L1" s="408"/>
      <c r="M1" s="408"/>
      <c r="N1" s="408"/>
      <c r="O1" s="409"/>
      <c r="U1" s="5"/>
      <c r="V1" s="5"/>
    </row>
    <row r="2" spans="1:23" s="2" customFormat="1" x14ac:dyDescent="0.25">
      <c r="A2" s="406" t="s">
        <v>106</v>
      </c>
      <c r="B2" s="406"/>
      <c r="C2" s="406"/>
      <c r="D2" s="406"/>
      <c r="E2" s="406"/>
      <c r="F2" s="406"/>
      <c r="G2" s="406"/>
      <c r="I2" s="33"/>
      <c r="J2" s="42" t="s">
        <v>28</v>
      </c>
      <c r="K2" s="42"/>
      <c r="L2" s="42"/>
      <c r="M2" s="42"/>
      <c r="N2" s="42"/>
      <c r="O2" s="43" t="s">
        <v>29</v>
      </c>
      <c r="P2" s="1">
        <f>IF(MONTH(J3)&gt;6, 12+7-MONTH(J3), 7-MONTH(J3))</f>
        <v>6</v>
      </c>
      <c r="R2" s="2" t="s">
        <v>129</v>
      </c>
      <c r="T2" s="127" t="s">
        <v>158</v>
      </c>
      <c r="U2" s="308">
        <f>Budget!U1</f>
        <v>0</v>
      </c>
    </row>
    <row r="3" spans="1:23" x14ac:dyDescent="0.25">
      <c r="A3" s="98" t="str">
        <f>"Period of Performance: "&amp;TEXT(J3, "mm/dd/yy")&amp;" - "&amp;TEXT(O3, "mm/dd/yy")&amp;" ["&amp;ROUND(J5,2)&amp; " Year(s)]"</f>
        <v>Period of Performance: 01/00/00 - 01/00/00 [0 Year(s)]</v>
      </c>
      <c r="B3" s="99"/>
      <c r="C3" s="99"/>
      <c r="D3" s="99"/>
      <c r="E3" s="99"/>
      <c r="F3" s="99"/>
      <c r="G3" s="98"/>
      <c r="I3" s="45" t="s">
        <v>52</v>
      </c>
      <c r="J3" s="262">
        <f>Budget!J4</f>
        <v>0</v>
      </c>
      <c r="K3" s="262"/>
      <c r="L3" s="262"/>
      <c r="M3" s="262"/>
      <c r="N3" s="262"/>
      <c r="O3" s="263">
        <f>Budget!O4</f>
        <v>0</v>
      </c>
      <c r="P3" s="1">
        <f>IF(DAY(J3)&gt;1,(P2-1+((DAY(DATE(YEAR(J3),MONTH(J3)+1,0))-DAY(J3))/DAY(DATE(YEAR(J3),MONTH(J3)+1,0)))),P2)</f>
        <v>6</v>
      </c>
      <c r="R3" s="1" t="s">
        <v>127</v>
      </c>
      <c r="S3" s="1"/>
      <c r="T3" s="127" t="s">
        <v>154</v>
      </c>
      <c r="U3" s="309"/>
      <c r="V3" s="310"/>
      <c r="W3" s="170" t="s">
        <v>167</v>
      </c>
    </row>
    <row r="4" spans="1:23" x14ac:dyDescent="0.25">
      <c r="A4" s="410" t="s">
        <v>156</v>
      </c>
      <c r="B4" s="410"/>
      <c r="C4" s="410"/>
      <c r="D4" s="410"/>
      <c r="E4" s="410"/>
      <c r="F4" s="410"/>
      <c r="G4" s="410"/>
      <c r="I4" s="9"/>
      <c r="J4" s="5" t="s">
        <v>80</v>
      </c>
      <c r="K4" s="5"/>
      <c r="L4" s="5"/>
      <c r="M4" s="5"/>
      <c r="N4" s="5"/>
      <c r="O4" s="41" t="s">
        <v>14</v>
      </c>
      <c r="P4" s="1">
        <f>IF(O3-J3&lt;366, P3/((YEAR(O3)-YEAR(J3))*12+MONTH(O3)-MONTH(J3)+1),0)</f>
        <v>6</v>
      </c>
      <c r="R4" s="1" t="s">
        <v>128</v>
      </c>
      <c r="S4" s="1"/>
      <c r="T4" s="5" t="s">
        <v>81</v>
      </c>
      <c r="U4" s="5" t="s">
        <v>82</v>
      </c>
      <c r="V4" s="5" t="s">
        <v>86</v>
      </c>
    </row>
    <row r="5" spans="1:23" s="5" customFormat="1" x14ac:dyDescent="0.25">
      <c r="B5" s="6" t="s">
        <v>6</v>
      </c>
      <c r="C5" s="7" t="s">
        <v>5</v>
      </c>
      <c r="D5" s="7" t="s">
        <v>7</v>
      </c>
      <c r="E5" s="7" t="s">
        <v>8</v>
      </c>
      <c r="F5" s="7" t="s">
        <v>9</v>
      </c>
      <c r="G5" s="7" t="s">
        <v>10</v>
      </c>
      <c r="I5" s="8"/>
      <c r="J5" s="44">
        <f>YEARFRAC(J3, O3)</f>
        <v>0</v>
      </c>
      <c r="K5" s="44"/>
      <c r="L5" s="44"/>
      <c r="M5" s="44"/>
      <c r="N5" s="44"/>
      <c r="O5" s="264">
        <v>0</v>
      </c>
      <c r="T5" s="5" t="s">
        <v>51</v>
      </c>
      <c r="U5" s="5" t="s">
        <v>83</v>
      </c>
      <c r="V5" s="5" t="s">
        <v>126</v>
      </c>
    </row>
    <row r="6" spans="1:23" s="2" customFormat="1" x14ac:dyDescent="0.25">
      <c r="A6" s="98" t="s">
        <v>3</v>
      </c>
      <c r="B6" s="46"/>
      <c r="C6" s="46"/>
      <c r="D6" s="46"/>
      <c r="E6" s="46"/>
      <c r="F6" s="46"/>
      <c r="G6" s="46"/>
      <c r="I6" s="9"/>
      <c r="J6" s="5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10"/>
      <c r="T6" s="77"/>
      <c r="U6" s="5"/>
      <c r="V6" s="5"/>
    </row>
    <row r="7" spans="1:23" outlineLevel="1" x14ac:dyDescent="0.25">
      <c r="A7" s="22" t="s">
        <v>84</v>
      </c>
      <c r="B7" s="47"/>
      <c r="C7" s="48"/>
      <c r="D7" s="48"/>
      <c r="E7" s="48"/>
      <c r="F7" s="48"/>
      <c r="G7" s="46"/>
      <c r="I7" s="89" t="s">
        <v>132</v>
      </c>
      <c r="J7" s="5">
        <f>IF(U11="F",J8*12,SUM(J9*9,J10))</f>
        <v>0</v>
      </c>
      <c r="K7" s="5">
        <f>IF(U11="F",K8*12,SUM(K9*9,K10))</f>
        <v>0</v>
      </c>
      <c r="L7" s="5">
        <f>IF(U11="F",L8*12,SUM(L9*9,L10))</f>
        <v>0</v>
      </c>
      <c r="M7" s="5">
        <f>IF(U11="F",M8*12,SUM(M9*9,M10))</f>
        <v>0</v>
      </c>
      <c r="N7" s="5">
        <f>IF(U11="F",N8*12,SUM(N9*9,N10))</f>
        <v>0</v>
      </c>
      <c r="O7" s="41" t="s">
        <v>51</v>
      </c>
      <c r="P7" s="134" t="s">
        <v>130</v>
      </c>
      <c r="Q7" s="134" t="s">
        <v>131</v>
      </c>
      <c r="R7" s="11"/>
      <c r="S7" s="12"/>
      <c r="T7" s="78"/>
      <c r="U7" s="80"/>
      <c r="V7" s="80"/>
    </row>
    <row r="8" spans="1:23" outlineLevel="1" x14ac:dyDescent="0.25">
      <c r="A8" s="13" t="e">
        <f>ROUND(P8*100, 2)&amp;"% Avg. Fiscal Effort, "&amp;ROUND(Q8, 2)&amp;" Avg. Calendar Months"</f>
        <v>#DIV/0!</v>
      </c>
      <c r="B8" s="47">
        <f>O8*J8</f>
        <v>0</v>
      </c>
      <c r="C8" s="47">
        <f>IF($J$5&gt;1,IF($U$2&lt;&gt;0,IF(O8*(1+$O$5)&lt;=$U$2,O8*K8*(1+$O$5),$U$2*K8),O8*K8*(1+$O$5)),0)</f>
        <v>0</v>
      </c>
      <c r="D8" s="47">
        <f>IF($J$5&gt;2,IF($U$2&lt;&gt;0,IF(O8*(1+$O$5)^2&lt;=$U$2,O8*L8*(1+$O$5)^2,$U$2*L8),O8*L8*(1+$O$5)^2),0)</f>
        <v>0</v>
      </c>
      <c r="E8" s="47">
        <f>IF($J$5&gt;3,IF($U$2&lt;&gt;0,IF(O8*(1+$O$5)^3&lt;=$U$2,O8*M8*(1+$O$5)^3,$U$2*M8),O8*M8*(1+$O$5)^3),0)</f>
        <v>0</v>
      </c>
      <c r="F8" s="47">
        <f>IF($J$5&gt;4,IF($U$2&lt;&gt;0,IF(O8*(1+$O$5)^4&lt;=$U$2,O8*N8*(1+$O$5)^4,$U$2*N8),O8*N8*(1+$O$5)^4),0)</f>
        <v>0</v>
      </c>
      <c r="G8" s="46">
        <f>SUM(B8:F8)</f>
        <v>0</v>
      </c>
      <c r="H8" s="14"/>
      <c r="I8" s="89" t="s">
        <v>26</v>
      </c>
      <c r="J8" s="265">
        <v>0</v>
      </c>
      <c r="K8" s="265">
        <f>IF($J$5&gt;1,J8,0)</f>
        <v>0</v>
      </c>
      <c r="L8" s="265">
        <f>IF($J$5&gt;2,K8,0)</f>
        <v>0</v>
      </c>
      <c r="M8" s="265">
        <f>IF($J$5&gt;3,L8,0)</f>
        <v>0</v>
      </c>
      <c r="N8" s="265">
        <f>IF($J$5&gt;4,M8,0)</f>
        <v>0</v>
      </c>
      <c r="O8" s="128">
        <f>IF(U11="F",IF($U$2&lt;&gt;0,IF(T11&gt;$U$2,$U$2,T11),T11),0)</f>
        <v>0</v>
      </c>
      <c r="P8" s="135" t="e">
        <f>SUM(J7:N7)/(ROUNDUP($J$5,0)*12)</f>
        <v>#DIV/0!</v>
      </c>
      <c r="Q8" s="136" t="e">
        <f>(SUM(J7:N7)/(CEILING($J$5*12,12)))*12</f>
        <v>#DIV/0!</v>
      </c>
      <c r="R8" s="1"/>
      <c r="S8" s="1"/>
      <c r="T8" s="78"/>
      <c r="U8" s="80"/>
      <c r="V8" s="80"/>
    </row>
    <row r="9" spans="1:23" outlineLevel="1" x14ac:dyDescent="0.25">
      <c r="A9" s="376" t="e">
        <f>ROUND(P8*100,2)&amp;"% Annualized Effort, "&amp;ROUND(Q9,2)&amp;" Avg. Academic Months
"&amp;IF(SUM(J10:N10)&gt;0," and "&amp;Q10 &amp;" Avg. Summer Months", "")</f>
        <v>#DIV/0!</v>
      </c>
      <c r="B9" s="47">
        <f>J9*O9</f>
        <v>0</v>
      </c>
      <c r="C9" s="47">
        <f>IF($J$5&gt;1,IF($U$2&lt;&gt;0,IF(O9*(1+$O$5)&lt;=$U$2*0.75,O9*K9*(1+$O$5),$U$2*0.75*K9),O9*K9*(1+$O$5)),0)</f>
        <v>0</v>
      </c>
      <c r="D9" s="47">
        <f>IF($J$5&gt;2,IF($U$2&lt;&gt;0,IF(O9*(1+$O$5)^2&lt;=$U$2*0.75,O9*L9*(1+$O$5)^2,$U$2*0.75*L9),O9*L9*(1+$O$5)^2),0)</f>
        <v>0</v>
      </c>
      <c r="E9" s="47">
        <f>IF($J$5&gt;3,IF($U$2&lt;&gt;0,IF(O9*(1+$O$5)^3&lt;=$U$2*0.75,O9*M9*(1+$O$5)^3,$U$2*0.75*M9),O9*M9*(1+$O$5)^3),0)</f>
        <v>0</v>
      </c>
      <c r="F9" s="47">
        <f>IF($J$5&gt;4,IF($U$2&lt;&gt;0,IF(O9*(1+$O$5)^4&lt;=$U$2*0.75,O9*N9*(1+$O$5)^4,$U$2*0.75*N9),O9*N9*(1+$O$5)^4),0)</f>
        <v>0</v>
      </c>
      <c r="G9" s="46">
        <f>SUM(B9:F9)</f>
        <v>0</v>
      </c>
      <c r="H9" s="14"/>
      <c r="I9" s="89" t="s">
        <v>15</v>
      </c>
      <c r="J9" s="265">
        <v>0</v>
      </c>
      <c r="K9" s="265">
        <f t="shared" ref="K9:K10" si="0">IF($J$5&gt;1,J9,0)</f>
        <v>0</v>
      </c>
      <c r="L9" s="265">
        <f t="shared" ref="L9:L10" si="1">IF($J$5&gt;2,K9,0)</f>
        <v>0</v>
      </c>
      <c r="M9" s="265">
        <f t="shared" ref="M9:M10" si="2">IF($J$5&gt;3,L9,0)</f>
        <v>0</v>
      </c>
      <c r="N9" s="265">
        <f t="shared" ref="N9:N10" si="3">IF($J$5&gt;4,M9,0)</f>
        <v>0</v>
      </c>
      <c r="O9" s="128">
        <f>IF(U11="A",IF($U$2&lt;&gt;0,IF(T11&gt;($U$2/12*9),($U$2/12*9),T11),T11),0)</f>
        <v>0</v>
      </c>
      <c r="P9" s="143"/>
      <c r="Q9" s="137" t="e">
        <f>((SUM(J7:N7)-SUM(J10:N10))/(CEILING($J$5*9,9)))*9</f>
        <v>#DIV/0!</v>
      </c>
      <c r="R9" s="12"/>
      <c r="S9" s="12"/>
      <c r="T9" s="78"/>
      <c r="U9" s="80"/>
      <c r="V9" s="80"/>
    </row>
    <row r="10" spans="1:23" outlineLevel="1" x14ac:dyDescent="0.25">
      <c r="A10" s="376"/>
      <c r="B10" s="47">
        <f>J10/3*O10</f>
        <v>0</v>
      </c>
      <c r="C10" s="47">
        <f>IF($J$5&gt;1,IF($U$2&lt;&gt;0,IF(O10*(1+$O$5)&lt;=$U$2*0.25,O10*K10/3*(1+$O$5),$U$2*0.25*K10/3),O10*K10/3*(1+$O$5)),0)</f>
        <v>0</v>
      </c>
      <c r="D10" s="47">
        <f>IF($J$5&gt;2,IF($U$2&lt;&gt;0,IF(O10*(1+$O$5)^2&lt;=$U$2*0.25,O10*L10/3*(1+$O$5)^2,$U$2*0.25*L10/3),O10*L10/3*(1+$O$5)^2),0)</f>
        <v>0</v>
      </c>
      <c r="E10" s="47">
        <f>IF($J$5&gt;3,IF($U$2&lt;&gt;0,IF(O10*(1+$O$5)^3&lt;=$U$2*0.25,O10*M10/3*(1+$O$5)^3,$U$2*0.25*M10/3),O10*M10/3*(1+$O$5)^3),0)</f>
        <v>0</v>
      </c>
      <c r="F10" s="47">
        <f>IF($J$5&gt;4,IF($U$2&lt;&gt;0,IF(O10*(1+$O$5)^4&lt;=$U$2*0.25,O10*N10/3*(1+$O$5)^4,$U$2*0.25*N10/3),O10*N10/3*(1+$O$5)^4),0)</f>
        <v>0</v>
      </c>
      <c r="G10" s="46">
        <f>SUM(B10:F10)</f>
        <v>0</v>
      </c>
      <c r="H10" s="14"/>
      <c r="I10" s="89" t="s">
        <v>17</v>
      </c>
      <c r="J10" s="266">
        <v>0</v>
      </c>
      <c r="K10" s="266">
        <f t="shared" si="0"/>
        <v>0</v>
      </c>
      <c r="L10" s="266">
        <f t="shared" si="1"/>
        <v>0</v>
      </c>
      <c r="M10" s="266">
        <f t="shared" si="2"/>
        <v>0</v>
      </c>
      <c r="N10" s="266">
        <f t="shared" si="3"/>
        <v>0</v>
      </c>
      <c r="O10" s="128">
        <f>IF(U11="A",IF($U$2&lt;&gt;0,IF(T11/9*3&gt;($U$2/12*3),($U$2/12*3),T11/9*3),T11/9*3),0)</f>
        <v>0</v>
      </c>
      <c r="P10" s="138"/>
      <c r="Q10" s="138" t="e">
        <f>((SUM(J7:N7)-SUM(J9:N9)*9)/(CEILING($J$5*3,3)))*3</f>
        <v>#DIV/0!</v>
      </c>
      <c r="R10" s="12"/>
      <c r="S10" s="12"/>
      <c r="T10" s="1"/>
      <c r="U10" s="80"/>
      <c r="V10" s="80"/>
    </row>
    <row r="11" spans="1:23" outlineLevel="1" x14ac:dyDescent="0.25">
      <c r="A11" s="18"/>
      <c r="B11" s="47"/>
      <c r="C11" s="47"/>
      <c r="D11" s="48"/>
      <c r="E11" s="48"/>
      <c r="F11" s="48"/>
      <c r="G11" s="49"/>
      <c r="H11" s="19"/>
      <c r="I11" s="89" t="s">
        <v>111</v>
      </c>
      <c r="J11" s="130">
        <f>SUM(B8:B10)*$V11</f>
        <v>0</v>
      </c>
      <c r="K11" s="130">
        <f t="shared" ref="K11:N11" si="4">SUM(C8:C10)*$V11</f>
        <v>0</v>
      </c>
      <c r="L11" s="130">
        <f t="shared" si="4"/>
        <v>0</v>
      </c>
      <c r="M11" s="130">
        <f t="shared" si="4"/>
        <v>0</v>
      </c>
      <c r="N11" s="130">
        <f t="shared" si="4"/>
        <v>0</v>
      </c>
      <c r="O11" s="129"/>
      <c r="P11" s="138"/>
      <c r="Q11" s="138"/>
      <c r="R11" s="12"/>
      <c r="S11" s="12"/>
      <c r="T11" s="311">
        <v>0</v>
      </c>
      <c r="U11" s="312"/>
      <c r="V11" s="131">
        <f>$J$79</f>
        <v>0</v>
      </c>
    </row>
    <row r="12" spans="1:23" outlineLevel="1" x14ac:dyDescent="0.25">
      <c r="A12" s="18"/>
      <c r="B12" s="47"/>
      <c r="C12" s="47"/>
      <c r="D12" s="48"/>
      <c r="E12" s="48"/>
      <c r="F12" s="48"/>
      <c r="G12" s="49"/>
      <c r="H12" s="19"/>
      <c r="I12" s="115"/>
      <c r="J12" s="79"/>
      <c r="K12" s="79"/>
      <c r="L12" s="79"/>
      <c r="M12" s="79"/>
      <c r="N12" s="79"/>
      <c r="O12" s="21"/>
      <c r="P12" s="138"/>
      <c r="Q12" s="138"/>
      <c r="R12" s="12"/>
      <c r="S12" s="12"/>
      <c r="T12" s="78"/>
      <c r="U12" s="80"/>
      <c r="V12" s="80"/>
    </row>
    <row r="13" spans="1:23" outlineLevel="1" x14ac:dyDescent="0.25">
      <c r="A13" s="22" t="s">
        <v>84</v>
      </c>
      <c r="B13" s="47"/>
      <c r="C13" s="48"/>
      <c r="D13" s="48"/>
      <c r="E13" s="48"/>
      <c r="F13" s="48"/>
      <c r="G13" s="46"/>
      <c r="I13" s="89" t="s">
        <v>132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1" t="s">
        <v>51</v>
      </c>
      <c r="P13" s="134" t="s">
        <v>130</v>
      </c>
      <c r="Q13" s="134" t="s">
        <v>131</v>
      </c>
      <c r="R13" s="11"/>
      <c r="S13" s="12"/>
      <c r="T13" s="78"/>
      <c r="U13" s="80"/>
      <c r="V13" s="80"/>
    </row>
    <row r="14" spans="1:23" ht="15.75" customHeight="1" outlineLevel="1" x14ac:dyDescent="0.25">
      <c r="A14" s="13" t="e">
        <f>ROUND(P14*100, 2)&amp;"% Avg. Fiscal Effort, "&amp;ROUND(Q14, 2)&amp;" Avg. Calendar Months"</f>
        <v>#DIV/0!</v>
      </c>
      <c r="B14" s="47">
        <f>O14*J14</f>
        <v>0</v>
      </c>
      <c r="C14" s="47">
        <f>IF($J$5&gt;1,IF($U$2&lt;&gt;0,IF(O14*(1+$O$5)&lt;=$U$2,O14*K14*(1+$O$5),$U$2*K14),O14*K14*(1+$O$5)),0)</f>
        <v>0</v>
      </c>
      <c r="D14" s="47">
        <f>IF($J$5&gt;2,IF($U$2&lt;&gt;0,IF(O14*(1+$O$5)^2&lt;=$U$2,O14*L14*(1+$O$5)^2,$U$2*L14),O14*L14*(1+$O$5)^2),0)</f>
        <v>0</v>
      </c>
      <c r="E14" s="47">
        <f>IF($J$5&gt;3,IF($U$2&lt;&gt;0,IF(O14*(1+$O$5)^3&lt;=$U$2,O14*M14*(1+$O$5)^3,$U$2*M14),O14*M14*(1+$O$5)^3),0)</f>
        <v>0</v>
      </c>
      <c r="F14" s="47">
        <f>IF($J$5&gt;4,IF($U$2&lt;&gt;0,IF(O14*(1+$O$5)^4&lt;=$U$2,O14*N14*(1+$O$5)^4,$U$2*N14),O14*N14*(1+$O$5)^4),0)</f>
        <v>0</v>
      </c>
      <c r="G14" s="46">
        <f>SUM(B14:F14)</f>
        <v>0</v>
      </c>
      <c r="H14" s="14"/>
      <c r="I14" s="89" t="s">
        <v>26</v>
      </c>
      <c r="J14" s="265">
        <v>0</v>
      </c>
      <c r="K14" s="265">
        <f>IF($J$5&gt;1,J14,0)</f>
        <v>0</v>
      </c>
      <c r="L14" s="265">
        <f>IF($J$5&gt;2,K14,0)</f>
        <v>0</v>
      </c>
      <c r="M14" s="265">
        <f>IF($J$5&gt;3,L14,0)</f>
        <v>0</v>
      </c>
      <c r="N14" s="265">
        <f>IF($J$5&gt;4,M14,0)</f>
        <v>0</v>
      </c>
      <c r="O14" s="128">
        <f>IF(U17="F",IF($U$2&lt;&gt;0,IF(T17&gt;$U$2,$U$2,T17),T17),0)</f>
        <v>0</v>
      </c>
      <c r="P14" s="135" t="e">
        <f>SUM(J13:N13)/(ROUNDUP($J$5,0)*12)</f>
        <v>#DIV/0!</v>
      </c>
      <c r="Q14" s="136" t="e">
        <f>(SUM(J13:N13)/(CEILING($J$5*12,12)))*12</f>
        <v>#DIV/0!</v>
      </c>
      <c r="R14" s="1"/>
      <c r="S14" s="1"/>
      <c r="T14" s="78"/>
      <c r="U14" s="80"/>
      <c r="V14" s="80"/>
    </row>
    <row r="15" spans="1:23" outlineLevel="1" x14ac:dyDescent="0.25">
      <c r="A15" s="376" t="e">
        <f>ROUND(P14*100,2)&amp;"% Annualized Effort, "&amp;ROUND(Q15,2)&amp;" Avg. Academic Months
"&amp;IF(SUM(J16:N16)&gt;0," and "&amp;Q16 &amp;" Avg. Summer Months", "")</f>
        <v>#DIV/0!</v>
      </c>
      <c r="B15" s="47">
        <f>J15*O15</f>
        <v>0</v>
      </c>
      <c r="C15" s="47">
        <f>IF($J$5&gt;1,IF($U$2&lt;&gt;0,IF(O15*(1+$O$5)&lt;=$U$2*0.75,O15*K15*(1+$O$5),$U$2*0.75*K15),O15*K15*(1+$O$5)),0)</f>
        <v>0</v>
      </c>
      <c r="D15" s="47">
        <f>IF($J$5&gt;2,IF($U$2&lt;&gt;0,IF(O15*(1+$O$5)^2&lt;=$U$2*0.75,O15*L15*(1+$O$5)^2,$U$2*0.75*L15),O15*L15*(1+$O$5)^2),0)</f>
        <v>0</v>
      </c>
      <c r="E15" s="47">
        <f>IF($J$5&gt;3,IF($U$2&lt;&gt;0,IF(O15*(1+$O$5)^3&lt;=$U$2*0.75,O15*M15*(1+$O$5)^3,$U$2*0.75*M15),O15*M15*(1+$O$5)^3),0)</f>
        <v>0</v>
      </c>
      <c r="F15" s="47">
        <f>IF($J$5&gt;4,IF($U$2&lt;&gt;0,IF(O15*(1+$O$5)^4&lt;=$U$2*0.75,O15*N15*(1+$O$5)^4,$U$2*0.75*N15),O15*N15*(1+$O$5)^4),0)</f>
        <v>0</v>
      </c>
      <c r="G15" s="46">
        <f>SUM(B15:F15)</f>
        <v>0</v>
      </c>
      <c r="H15" s="14"/>
      <c r="I15" s="89" t="s">
        <v>15</v>
      </c>
      <c r="J15" s="265">
        <v>0</v>
      </c>
      <c r="K15" s="265">
        <f t="shared" ref="K15:K16" si="5">IF($J$5&gt;1,J15,0)</f>
        <v>0</v>
      </c>
      <c r="L15" s="265">
        <f t="shared" ref="L15:L16" si="6">IF($J$5&gt;2,K15,0)</f>
        <v>0</v>
      </c>
      <c r="M15" s="265">
        <f t="shared" ref="M15:M16" si="7">IF($J$5&gt;3,L15,0)</f>
        <v>0</v>
      </c>
      <c r="N15" s="265">
        <f t="shared" ref="N15:N16" si="8">IF($J$5&gt;4,M15,0)</f>
        <v>0</v>
      </c>
      <c r="O15" s="128">
        <f>IF(U17="A",IF($U$2&lt;&gt;0,IF(T17&gt;($U$2/12*9),($U$2/12*9),T17),T17),0)</f>
        <v>0</v>
      </c>
      <c r="P15" s="143"/>
      <c r="Q15" s="137" t="e">
        <f>((SUM(J13:N13)-SUM(J16:N16))/(CEILING($J$5*9,9)))*9</f>
        <v>#DIV/0!</v>
      </c>
      <c r="R15" s="12"/>
      <c r="S15" s="12"/>
      <c r="T15" s="78"/>
      <c r="U15" s="80"/>
      <c r="V15" s="80"/>
    </row>
    <row r="16" spans="1:23" outlineLevel="1" x14ac:dyDescent="0.25">
      <c r="A16" s="376"/>
      <c r="B16" s="47">
        <f>J16/3*O16</f>
        <v>0</v>
      </c>
      <c r="C16" s="47">
        <f>IF($J$5&gt;1,IF($U$2&lt;&gt;0,IF(O16*(1+$O$5)&lt;=$U$2*0.25,O16*K16/3*(1+$O$5),$U$2*0.25*K16/3),O16*K16/3*(1+$O$5)),0)</f>
        <v>0</v>
      </c>
      <c r="D16" s="47">
        <f>IF($J$5&gt;2,IF($U$2&lt;&gt;0,IF(O16*(1+$O$5)^2&lt;=$U$2*0.25,O16*L16/3*(1+$O$5)^2,$U$2*0.25*L16/3),O16*L16/3*(1+$O$5)^2),0)</f>
        <v>0</v>
      </c>
      <c r="E16" s="47">
        <f>IF($J$5&gt;3,IF($U$2&lt;&gt;0,IF(O16*(1+$O$5)^3&lt;=$U$2*0.25,O16*M16/3*(1+$O$5)^3,$U$2*0.25*M16/3),O16*M16/3*(1+$O$5)^3),0)</f>
        <v>0</v>
      </c>
      <c r="F16" s="47">
        <f>IF($J$5&gt;4,IF($U$2&lt;&gt;0,IF(O16*(1+$O$5)^4&lt;=$U$2*0.25,O16*N16/3*(1+$O$5)^4,$U$2*0.25*N16/3),O16*N16/3*(1+$O$5)^4),0)</f>
        <v>0</v>
      </c>
      <c r="G16" s="46">
        <f>SUM(B16:F16)</f>
        <v>0</v>
      </c>
      <c r="H16" s="14"/>
      <c r="I16" s="89" t="s">
        <v>17</v>
      </c>
      <c r="J16" s="266">
        <v>0</v>
      </c>
      <c r="K16" s="266">
        <f t="shared" si="5"/>
        <v>0</v>
      </c>
      <c r="L16" s="266">
        <f t="shared" si="6"/>
        <v>0</v>
      </c>
      <c r="M16" s="266">
        <f t="shared" si="7"/>
        <v>0</v>
      </c>
      <c r="N16" s="266">
        <f t="shared" si="8"/>
        <v>0</v>
      </c>
      <c r="O16" s="128">
        <f>IF(U17="A",IF($U$2&lt;&gt;0,IF(T17/9*3&gt;($U$2/12*3),($U$2/12*3),T17/9*3),T17/9*3),0)</f>
        <v>0</v>
      </c>
      <c r="P16" s="138"/>
      <c r="Q16" s="138" t="e">
        <f>((SUM(J13:N13)-SUM(J15:N15)*9)/(CEILING($J$5*3,3)))*3</f>
        <v>#DIV/0!</v>
      </c>
      <c r="R16" s="12"/>
      <c r="S16" s="12"/>
      <c r="T16" s="1"/>
      <c r="U16" s="80"/>
      <c r="V16" s="80"/>
    </row>
    <row r="17" spans="1:22" outlineLevel="1" x14ac:dyDescent="0.25">
      <c r="A17" s="18"/>
      <c r="B17" s="47"/>
      <c r="C17" s="47"/>
      <c r="D17" s="48"/>
      <c r="E17" s="48"/>
      <c r="F17" s="48"/>
      <c r="G17" s="49"/>
      <c r="H17" s="19"/>
      <c r="I17" s="89" t="s">
        <v>111</v>
      </c>
      <c r="J17" s="130">
        <f>SUM(B14:B16)*$V17</f>
        <v>0</v>
      </c>
      <c r="K17" s="130">
        <f t="shared" ref="K17:N17" si="9">SUM(C14:C16)*$V17</f>
        <v>0</v>
      </c>
      <c r="L17" s="130">
        <f t="shared" si="9"/>
        <v>0</v>
      </c>
      <c r="M17" s="130">
        <f t="shared" si="9"/>
        <v>0</v>
      </c>
      <c r="N17" s="130">
        <f t="shared" si="9"/>
        <v>0</v>
      </c>
      <c r="O17" s="129"/>
      <c r="P17" s="138"/>
      <c r="Q17" s="138"/>
      <c r="R17" s="12"/>
      <c r="S17" s="12"/>
      <c r="T17" s="311">
        <v>0</v>
      </c>
      <c r="U17" s="312"/>
      <c r="V17" s="131">
        <f>$J$79</f>
        <v>0</v>
      </c>
    </row>
    <row r="18" spans="1:22" outlineLevel="1" x14ac:dyDescent="0.25">
      <c r="A18" s="18"/>
      <c r="B18" s="47"/>
      <c r="C18" s="47"/>
      <c r="D18" s="48"/>
      <c r="E18" s="48"/>
      <c r="F18" s="48"/>
      <c r="G18" s="49"/>
      <c r="H18" s="19"/>
      <c r="I18" s="115"/>
      <c r="J18" s="79"/>
      <c r="K18" s="79"/>
      <c r="L18" s="79"/>
      <c r="M18" s="79"/>
      <c r="N18" s="79"/>
      <c r="O18" s="21"/>
      <c r="P18" s="138"/>
      <c r="Q18" s="138"/>
      <c r="R18" s="12"/>
      <c r="S18" s="12"/>
      <c r="T18" s="78"/>
      <c r="U18" s="80"/>
      <c r="V18" s="80"/>
    </row>
    <row r="19" spans="1:22" outlineLevel="1" x14ac:dyDescent="0.25">
      <c r="A19" s="22" t="s">
        <v>84</v>
      </c>
      <c r="B19" s="47"/>
      <c r="C19" s="48"/>
      <c r="D19" s="48"/>
      <c r="E19" s="48"/>
      <c r="F19" s="48"/>
      <c r="G19" s="46"/>
      <c r="I19" s="89" t="s">
        <v>132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1" t="s">
        <v>51</v>
      </c>
      <c r="P19" s="134" t="s">
        <v>130</v>
      </c>
      <c r="Q19" s="134" t="s">
        <v>131</v>
      </c>
      <c r="R19" s="11"/>
      <c r="S19" s="12"/>
      <c r="T19" s="78"/>
      <c r="U19" s="80"/>
      <c r="V19" s="80"/>
    </row>
    <row r="20" spans="1:22" outlineLevel="1" x14ac:dyDescent="0.25">
      <c r="A20" s="13" t="e">
        <f>ROUND(P20*100, 2)&amp;"% Avg. Fiscal Effort, "&amp;ROUND(Q20, 2)&amp;" Avg. Calendar Months"</f>
        <v>#DIV/0!</v>
      </c>
      <c r="B20" s="47">
        <f>O20*J20</f>
        <v>0</v>
      </c>
      <c r="C20" s="47">
        <f>IF($J$5&gt;1,IF($U$2&lt;&gt;0,IF(O20*(1+$O$5)&lt;=$U$2,O20*K20*(1+$O$5),$U$2*K20),O20*K20*(1+$O$5)),0)</f>
        <v>0</v>
      </c>
      <c r="D20" s="47">
        <f>IF($J$5&gt;2,IF($U$2&lt;&gt;0,IF(O20*(1+$O$5)^2&lt;=$U$2,O20*L20*(1+$O$5)^2,$U$2*L20),O20*L20*(1+$O$5)^2),0)</f>
        <v>0</v>
      </c>
      <c r="E20" s="47">
        <f>IF($J$5&gt;3,IF($U$2&lt;&gt;0,IF(O20*(1+$O$5)^3&lt;=$U$2,O20*M20*(1+$O$5)^3,$U$2*M20),O20*M20*(1+$O$5)^3),0)</f>
        <v>0</v>
      </c>
      <c r="F20" s="47">
        <f>IF($J$5&gt;4,IF($U$2&lt;&gt;0,IF(O20*(1+$O$5)^4&lt;=$U$2,O20*N20*(1+$O$5)^4,$U$2*N20),O20*N20*(1+$O$5)^4),0)</f>
        <v>0</v>
      </c>
      <c r="G20" s="46">
        <f>SUM(B20:F20)</f>
        <v>0</v>
      </c>
      <c r="H20" s="14"/>
      <c r="I20" s="89" t="s">
        <v>26</v>
      </c>
      <c r="J20" s="265">
        <v>0</v>
      </c>
      <c r="K20" s="265">
        <f>IF($J$5&gt;1,J20,0)</f>
        <v>0</v>
      </c>
      <c r="L20" s="265">
        <f>IF($J$5&gt;2,K20,0)</f>
        <v>0</v>
      </c>
      <c r="M20" s="265">
        <f>IF($J$5&gt;3,L20,0)</f>
        <v>0</v>
      </c>
      <c r="N20" s="265">
        <f>IF($J$5&gt;4,M20,0)</f>
        <v>0</v>
      </c>
      <c r="O20" s="128">
        <f>IF(U23="F",IF($U$2&lt;&gt;0,IF(T23&gt;$U$2,$U$2,T23),T23),0)</f>
        <v>0</v>
      </c>
      <c r="P20" s="135" t="e">
        <f>SUM(J19:N19)/(ROUNDUP($J$5,0)*12)</f>
        <v>#DIV/0!</v>
      </c>
      <c r="Q20" s="136" t="e">
        <f>(SUM(J19:N19)/(CEILING($J$5*12,12)))*12</f>
        <v>#DIV/0!</v>
      </c>
      <c r="R20" s="1"/>
      <c r="S20" s="1"/>
      <c r="T20" s="78"/>
      <c r="U20" s="80"/>
      <c r="V20" s="80"/>
    </row>
    <row r="21" spans="1:22" outlineLevel="1" x14ac:dyDescent="0.25">
      <c r="A21" s="376" t="e">
        <f>ROUND(P20*100,2)&amp;"% Annualized Effort, "&amp;ROUND(Q21,2)&amp;" Avg. Academic Months
"&amp;IF(SUM(J22:N22)&gt;0," and "&amp;Q22 &amp;" Avg. Summer Months", "")</f>
        <v>#DIV/0!</v>
      </c>
      <c r="B21" s="47">
        <f>J21*O21</f>
        <v>0</v>
      </c>
      <c r="C21" s="47">
        <f>IF($J$5&gt;1,IF($U$2&lt;&gt;0,IF(O21*(1+$O$5)&lt;=$U$2*0.75,O21*K21*(1+$O$5),$U$2*0.75*K21),O21*K21*(1+$O$5)),0)</f>
        <v>0</v>
      </c>
      <c r="D21" s="47">
        <f>IF($J$5&gt;2,IF($U$2&lt;&gt;0,IF(O21*(1+$O$5)^2&lt;=$U$2*0.75,O21*L21*(1+$O$5)^2,$U$2*0.75*L21),O21*L21*(1+$O$5)^2),0)</f>
        <v>0</v>
      </c>
      <c r="E21" s="47">
        <f>IF($J$5&gt;3,IF($U$2&lt;&gt;0,IF(O21*(1+$O$5)^3&lt;=$U$2*0.75,O21*M21*(1+$O$5)^3,$U$2*0.75*M21),O21*M21*(1+$O$5)^3),0)</f>
        <v>0</v>
      </c>
      <c r="F21" s="47">
        <f>IF($J$5&gt;4,IF($U$2&lt;&gt;0,IF(O21*(1+$O$5)^4&lt;=$U$2*0.75,O21*N21*(1+$O$5)^4,$U$2*0.75*N21),O21*N21*(1+$O$5)^4),0)</f>
        <v>0</v>
      </c>
      <c r="G21" s="46">
        <f>SUM(B21:F21)</f>
        <v>0</v>
      </c>
      <c r="H21" s="14"/>
      <c r="I21" s="89" t="s">
        <v>15</v>
      </c>
      <c r="J21" s="265">
        <v>0</v>
      </c>
      <c r="K21" s="265">
        <f t="shared" ref="K21:K22" si="10">IF($J$5&gt;1,J21,0)</f>
        <v>0</v>
      </c>
      <c r="L21" s="265">
        <f t="shared" ref="L21:L22" si="11">IF($J$5&gt;2,K21,0)</f>
        <v>0</v>
      </c>
      <c r="M21" s="265">
        <f t="shared" ref="M21:M22" si="12">IF($J$5&gt;3,L21,0)</f>
        <v>0</v>
      </c>
      <c r="N21" s="265">
        <f t="shared" ref="N21:N22" si="13">IF($J$5&gt;4,M21,0)</f>
        <v>0</v>
      </c>
      <c r="O21" s="128">
        <f>IF(U23="A",IF($U$2&lt;&gt;0,IF(T23&gt;($U$2/12*9),($U$2/12*9),T23),T23),0)</f>
        <v>0</v>
      </c>
      <c r="P21" s="143"/>
      <c r="Q21" s="137" t="e">
        <f>((SUM(J19:N19)-SUM(J22:N22))/(CEILING($J$5*9,9)))*9</f>
        <v>#DIV/0!</v>
      </c>
      <c r="R21" s="12"/>
      <c r="S21" s="12"/>
      <c r="T21" s="78"/>
      <c r="U21" s="80"/>
      <c r="V21" s="80"/>
    </row>
    <row r="22" spans="1:22" outlineLevel="1" x14ac:dyDescent="0.25">
      <c r="A22" s="376"/>
      <c r="B22" s="47">
        <f>J22/3*O22</f>
        <v>0</v>
      </c>
      <c r="C22" s="47">
        <f>IF($J$5&gt;1,IF($U$2&lt;&gt;0,IF(O22*(1+$O$5)&lt;=$U$2*0.25,O22*K22/3*(1+$O$5),$U$2*0.25*K22/3),O22*K22/3*(1+$O$5)),0)</f>
        <v>0</v>
      </c>
      <c r="D22" s="47">
        <f>IF($J$5&gt;2,IF($U$2&lt;&gt;0,IF(O22*(1+$O$5)^2&lt;=$U$2*0.25,O22*L22/3*(1+$O$5)^2,$U$2*0.25*L22/3),O22*L22/3*(1+$O$5)^2),0)</f>
        <v>0</v>
      </c>
      <c r="E22" s="47">
        <f>IF($J$5&gt;3,IF($U$2&lt;&gt;0,IF(O22*(1+$O$5)^3&lt;=$U$2*0.25,O22*M22/3*(1+$O$5)^3,$U$2*0.25*M22/3),O22*M22/3*(1+$O$5)^3),0)</f>
        <v>0</v>
      </c>
      <c r="F22" s="47">
        <f>IF($J$5&gt;4,IF($U$2&lt;&gt;0,IF(O22*(1+$O$5)^4&lt;=$U$2*0.25,O22*N22/3*(1+$O$5)^4,$U$2*0.25*N22/3),O22*N22/3*(1+$O$5)^4),0)</f>
        <v>0</v>
      </c>
      <c r="G22" s="46">
        <f>SUM(B22:F22)</f>
        <v>0</v>
      </c>
      <c r="H22" s="14"/>
      <c r="I22" s="89" t="s">
        <v>17</v>
      </c>
      <c r="J22" s="266">
        <v>0</v>
      </c>
      <c r="K22" s="266">
        <f t="shared" si="10"/>
        <v>0</v>
      </c>
      <c r="L22" s="266">
        <f t="shared" si="11"/>
        <v>0</v>
      </c>
      <c r="M22" s="266">
        <f t="shared" si="12"/>
        <v>0</v>
      </c>
      <c r="N22" s="266">
        <f t="shared" si="13"/>
        <v>0</v>
      </c>
      <c r="O22" s="128">
        <f>IF(U23="A",IF($U$2&lt;&gt;0,IF(T23/9*3&gt;($U$2/12*3),($U$2/12*3),T23/9*3),T23/9*3),0)</f>
        <v>0</v>
      </c>
      <c r="P22" s="138"/>
      <c r="Q22" s="138" t="e">
        <f>((SUM(J19:N19)-SUM(J21:N21)*9)/(CEILING($J$5*3,3)))*3</f>
        <v>#DIV/0!</v>
      </c>
      <c r="R22" s="12"/>
      <c r="S22" s="12"/>
      <c r="T22" s="1"/>
      <c r="U22" s="80"/>
      <c r="V22" s="80"/>
    </row>
    <row r="23" spans="1:22" outlineLevel="1" x14ac:dyDescent="0.25">
      <c r="A23" s="18"/>
      <c r="B23" s="47"/>
      <c r="C23" s="47"/>
      <c r="D23" s="48"/>
      <c r="E23" s="48"/>
      <c r="F23" s="48"/>
      <c r="G23" s="49"/>
      <c r="H23" s="19"/>
      <c r="I23" s="89" t="s">
        <v>111</v>
      </c>
      <c r="J23" s="130">
        <f>SUM(B20:B22)*$V23</f>
        <v>0</v>
      </c>
      <c r="K23" s="130">
        <f t="shared" ref="K23:N23" si="14">SUM(C20:C22)*$V23</f>
        <v>0</v>
      </c>
      <c r="L23" s="130">
        <f t="shared" si="14"/>
        <v>0</v>
      </c>
      <c r="M23" s="130">
        <f t="shared" si="14"/>
        <v>0</v>
      </c>
      <c r="N23" s="130">
        <f t="shared" si="14"/>
        <v>0</v>
      </c>
      <c r="O23" s="129"/>
      <c r="P23" s="138"/>
      <c r="Q23" s="138"/>
      <c r="R23" s="12"/>
      <c r="S23" s="12"/>
      <c r="T23" s="311">
        <v>0</v>
      </c>
      <c r="U23" s="312"/>
      <c r="V23" s="131">
        <f>$J$79</f>
        <v>0</v>
      </c>
    </row>
    <row r="24" spans="1:22" outlineLevel="1" x14ac:dyDescent="0.25">
      <c r="A24" s="18"/>
      <c r="B24" s="47"/>
      <c r="C24" s="47"/>
      <c r="D24" s="48"/>
      <c r="E24" s="48"/>
      <c r="F24" s="48"/>
      <c r="G24" s="49"/>
      <c r="H24" s="19"/>
      <c r="I24" s="115"/>
      <c r="J24" s="79"/>
      <c r="K24" s="79"/>
      <c r="L24" s="79"/>
      <c r="M24" s="79"/>
      <c r="N24" s="79"/>
      <c r="O24" s="21"/>
      <c r="P24" s="138"/>
      <c r="Q24" s="138"/>
      <c r="R24" s="12"/>
      <c r="S24" s="12"/>
      <c r="T24" s="78"/>
      <c r="U24" s="80"/>
      <c r="V24" s="80"/>
    </row>
    <row r="25" spans="1:22" outlineLevel="1" x14ac:dyDescent="0.25">
      <c r="A25" s="22" t="s">
        <v>84</v>
      </c>
      <c r="B25" s="47"/>
      <c r="C25" s="48"/>
      <c r="D25" s="48"/>
      <c r="E25" s="48"/>
      <c r="F25" s="48"/>
      <c r="G25" s="46"/>
      <c r="I25" s="89" t="s">
        <v>132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1" t="s">
        <v>51</v>
      </c>
      <c r="P25" s="134" t="s">
        <v>130</v>
      </c>
      <c r="Q25" s="134" t="s">
        <v>131</v>
      </c>
      <c r="R25" s="11"/>
      <c r="S25" s="12"/>
      <c r="T25" s="78"/>
      <c r="U25" s="80"/>
      <c r="V25" s="80"/>
    </row>
    <row r="26" spans="1:22" outlineLevel="1" x14ac:dyDescent="0.25">
      <c r="A26" s="13" t="e">
        <f>ROUND(P26*100, 2)&amp;"% Avg. Fiscal Effort, "&amp;ROUND(Q26, 2)&amp;" Avg. Calendar Months"</f>
        <v>#DIV/0!</v>
      </c>
      <c r="B26" s="47">
        <f>O26*J26</f>
        <v>0</v>
      </c>
      <c r="C26" s="47">
        <f>IF($J$5&gt;1,IF($U$2&lt;&gt;0,IF(O26*(1+$O$5)&lt;=$U$2,O26*K26*(1+$O$5),$U$2*K26),O26*K26*(1+$O$5)),0)</f>
        <v>0</v>
      </c>
      <c r="D26" s="47">
        <f>IF($J$5&gt;2,IF($U$2&lt;&gt;0,IF(O26*(1+$O$5)^2&lt;=$U$2,O26*L26*(1+$O$5)^2,$U$2*L26),O26*L26*(1+$O$5)^2),0)</f>
        <v>0</v>
      </c>
      <c r="E26" s="47">
        <f>IF($J$5&gt;3,IF($U$2&lt;&gt;0,IF(O26*(1+$O$5)^3&lt;=$U$2,O26*M26*(1+$O$5)^3,$U$2*M26),O26*M26*(1+$O$5)^3),0)</f>
        <v>0</v>
      </c>
      <c r="F26" s="47">
        <f>IF($J$5&gt;4,IF($U$2&lt;&gt;0,IF(O26*(1+$O$5)^4&lt;=$U$2,O26*N26*(1+$O$5)^4,$U$2*N26),O26*N26*(1+$O$5)^4),0)</f>
        <v>0</v>
      </c>
      <c r="G26" s="46">
        <f>SUM(B26:F26)</f>
        <v>0</v>
      </c>
      <c r="H26" s="14"/>
      <c r="I26" s="89" t="s">
        <v>26</v>
      </c>
      <c r="J26" s="265">
        <v>0</v>
      </c>
      <c r="K26" s="265">
        <f>IF($J$5&gt;1,J26,0)</f>
        <v>0</v>
      </c>
      <c r="L26" s="265">
        <f>IF($J$5&gt;2,K26,0)</f>
        <v>0</v>
      </c>
      <c r="M26" s="265">
        <f>IF($J$5&gt;3,L26,0)</f>
        <v>0</v>
      </c>
      <c r="N26" s="265">
        <f>IF($J$5&gt;4,M26,0)</f>
        <v>0</v>
      </c>
      <c r="O26" s="128">
        <f>IF(U29="F",IF($U$2&lt;&gt;0,IF(T29&gt;$U$2,$U$2,T29),T29),0)</f>
        <v>0</v>
      </c>
      <c r="P26" s="135" t="e">
        <f>SUM(J25:N25)/(ROUNDUP($J$5,0)*12)</f>
        <v>#DIV/0!</v>
      </c>
      <c r="Q26" s="136" t="e">
        <f>(SUM(J25:N25)/(CEILING($J$5*12,12)))*12</f>
        <v>#DIV/0!</v>
      </c>
      <c r="R26" s="1"/>
      <c r="S26" s="1"/>
      <c r="T26" s="78"/>
      <c r="U26" s="80"/>
      <c r="V26" s="80"/>
    </row>
    <row r="27" spans="1:22" outlineLevel="1" x14ac:dyDescent="0.25">
      <c r="A27" s="376" t="e">
        <f>ROUND(P26*100,2)&amp;"% Annualized Effort, "&amp;ROUND(Q27,2)&amp;" Avg. Academic Months
"&amp;IF(SUM(J28:N28)&gt;0," and "&amp;Q28 &amp;" Avg. Summer Months", "")</f>
        <v>#DIV/0!</v>
      </c>
      <c r="B27" s="47">
        <f>J27*O27</f>
        <v>0</v>
      </c>
      <c r="C27" s="47">
        <f>IF($J$5&gt;1,IF($U$2&lt;&gt;0,IF(O27*(1+$O$5)&lt;=$U$2*0.75,O27*K27*(1+$O$5),$U$2*0.75*K27),O27*K27*(1+$O$5)),0)</f>
        <v>0</v>
      </c>
      <c r="D27" s="47">
        <f>IF($J$5&gt;2,IF($U$2&lt;&gt;0,IF(O27*(1+$O$5)^2&lt;=$U$2*0.75,O27*L27*(1+$O$5)^2,$U$2*0.75*L27),O27*L27*(1+$O$5)^2),0)</f>
        <v>0</v>
      </c>
      <c r="E27" s="47">
        <f>IF($J$5&gt;3,IF($U$2&lt;&gt;0,IF(O27*(1+$O$5)^3&lt;=$U$2*0.75,O27*M27*(1+$O$5)^3,$U$2*0.75*M27),O27*M27*(1+$O$5)^3),0)</f>
        <v>0</v>
      </c>
      <c r="F27" s="47">
        <f>IF($J$5&gt;4,IF($U$2&lt;&gt;0,IF(O27*(1+$O$5)^4&lt;=$U$2*0.75,O27*N27*(1+$O$5)^4,$U$2*0.75*N27),O27*N27*(1+$O$5)^4),0)</f>
        <v>0</v>
      </c>
      <c r="G27" s="46">
        <f>SUM(B27:F27)</f>
        <v>0</v>
      </c>
      <c r="H27" s="14"/>
      <c r="I27" s="89" t="s">
        <v>15</v>
      </c>
      <c r="J27" s="265">
        <v>0</v>
      </c>
      <c r="K27" s="265">
        <f t="shared" ref="K27:K28" si="15">IF($J$5&gt;1,J27,0)</f>
        <v>0</v>
      </c>
      <c r="L27" s="265">
        <f t="shared" ref="L27:L28" si="16">IF($J$5&gt;2,K27,0)</f>
        <v>0</v>
      </c>
      <c r="M27" s="265">
        <f t="shared" ref="M27:M28" si="17">IF($J$5&gt;3,L27,0)</f>
        <v>0</v>
      </c>
      <c r="N27" s="265">
        <f t="shared" ref="N27:N28" si="18">IF($J$5&gt;4,M27,0)</f>
        <v>0</v>
      </c>
      <c r="O27" s="128">
        <f>IF(U29="A",IF($U$2&lt;&gt;0,IF(T29&gt;($U$2/12*9),($U$2/12*9),T29),T29),0)</f>
        <v>0</v>
      </c>
      <c r="P27" s="143"/>
      <c r="Q27" s="137" t="e">
        <f>((SUM(J25:N25)-SUM(J28:N28))/(CEILING($J$5*9,9)))*9</f>
        <v>#DIV/0!</v>
      </c>
      <c r="R27" s="12"/>
      <c r="S27" s="12"/>
      <c r="T27" s="78"/>
      <c r="U27" s="80"/>
      <c r="V27" s="80"/>
    </row>
    <row r="28" spans="1:22" outlineLevel="1" x14ac:dyDescent="0.25">
      <c r="A28" s="376"/>
      <c r="B28" s="47">
        <f>J28/3*O28</f>
        <v>0</v>
      </c>
      <c r="C28" s="47">
        <f>IF($J$5&gt;1,IF($U$2&lt;&gt;0,IF(O28*(1+$O$5)&lt;=$U$2*0.25,O28*K28/3*(1+$O$5),$U$2*0.25*K28/3),O28*K28/3*(1+$O$5)),0)</f>
        <v>0</v>
      </c>
      <c r="D28" s="47">
        <f>IF($J$5&gt;2,IF($U$2&lt;&gt;0,IF(O28*(1+$O$5)^2&lt;=$U$2*0.25,O28*L28/3*(1+$O$5)^2,$U$2*0.25*L28/3),O28*L28/3*(1+$O$5)^2),0)</f>
        <v>0</v>
      </c>
      <c r="E28" s="47">
        <f>IF($J$5&gt;3,IF($U$2&lt;&gt;0,IF(O28*(1+$O$5)^3&lt;=$U$2*0.25,O28*M28/3*(1+$O$5)^3,$U$2*0.25*M28/3),O28*M28/3*(1+$O$5)^3),0)</f>
        <v>0</v>
      </c>
      <c r="F28" s="47">
        <f>IF($J$5&gt;4,IF($U$2&lt;&gt;0,IF(O28*(1+$O$5)^4&lt;=$U$2*0.25,O28*N28/3*(1+$O$5)^4,$U$2*0.25*N28/3),O28*N28/3*(1+$O$5)^4),0)</f>
        <v>0</v>
      </c>
      <c r="G28" s="46">
        <f>SUM(B28:F28)</f>
        <v>0</v>
      </c>
      <c r="H28" s="14"/>
      <c r="I28" s="89" t="s">
        <v>17</v>
      </c>
      <c r="J28" s="266">
        <v>0</v>
      </c>
      <c r="K28" s="266">
        <f t="shared" si="15"/>
        <v>0</v>
      </c>
      <c r="L28" s="266">
        <f t="shared" si="16"/>
        <v>0</v>
      </c>
      <c r="M28" s="266">
        <f t="shared" si="17"/>
        <v>0</v>
      </c>
      <c r="N28" s="266">
        <f t="shared" si="18"/>
        <v>0</v>
      </c>
      <c r="O28" s="128">
        <f>IF(U29="A",IF($U$2&lt;&gt;0,IF(T29/9*3&gt;($U$2/12*3),($U$2/12*3),T29/9*3),T29/9*3),0)</f>
        <v>0</v>
      </c>
      <c r="P28" s="138"/>
      <c r="Q28" s="138" t="e">
        <f>((SUM(J25:N25)-SUM(J27:N27)*9)/(CEILING($J$5*3,3)))*3</f>
        <v>#DIV/0!</v>
      </c>
      <c r="R28" s="12"/>
      <c r="S28" s="12"/>
      <c r="T28" s="1"/>
      <c r="U28" s="80"/>
      <c r="V28" s="80"/>
    </row>
    <row r="29" spans="1:22" outlineLevel="1" x14ac:dyDescent="0.25">
      <c r="A29" s="18"/>
      <c r="B29" s="47"/>
      <c r="C29" s="47"/>
      <c r="D29" s="48"/>
      <c r="E29" s="48"/>
      <c r="F29" s="48"/>
      <c r="G29" s="49"/>
      <c r="H29" s="19"/>
      <c r="I29" s="89" t="s">
        <v>111</v>
      </c>
      <c r="J29" s="130">
        <f>SUM(B26:B28)*$V29</f>
        <v>0</v>
      </c>
      <c r="K29" s="130">
        <f t="shared" ref="K29:N29" si="19">SUM(C26:C28)*$V29</f>
        <v>0</v>
      </c>
      <c r="L29" s="130">
        <f t="shared" si="19"/>
        <v>0</v>
      </c>
      <c r="M29" s="130">
        <f t="shared" si="19"/>
        <v>0</v>
      </c>
      <c r="N29" s="130">
        <f t="shared" si="19"/>
        <v>0</v>
      </c>
      <c r="O29" s="129"/>
      <c r="P29" s="138"/>
      <c r="Q29" s="138"/>
      <c r="R29" s="12"/>
      <c r="S29" s="12"/>
      <c r="T29" s="311">
        <v>0</v>
      </c>
      <c r="U29" s="312"/>
      <c r="V29" s="131">
        <f>$J$79</f>
        <v>0</v>
      </c>
    </row>
    <row r="30" spans="1:22" outlineLevel="1" x14ac:dyDescent="0.25">
      <c r="A30" s="18"/>
      <c r="B30" s="47"/>
      <c r="C30" s="47"/>
      <c r="D30" s="48"/>
      <c r="E30" s="48"/>
      <c r="F30" s="48"/>
      <c r="G30" s="49"/>
      <c r="H30" s="19"/>
      <c r="I30" s="115"/>
      <c r="J30" s="79"/>
      <c r="K30" s="79"/>
      <c r="L30" s="79"/>
      <c r="M30" s="79"/>
      <c r="N30" s="79"/>
      <c r="O30" s="21"/>
      <c r="P30" s="138"/>
      <c r="Q30" s="138"/>
      <c r="R30" s="12"/>
      <c r="S30" s="12"/>
      <c r="T30" s="78"/>
      <c r="U30" s="80"/>
      <c r="V30" s="80"/>
    </row>
    <row r="31" spans="1:22" outlineLevel="1" x14ac:dyDescent="0.25">
      <c r="A31" s="22" t="s">
        <v>84</v>
      </c>
      <c r="B31" s="47"/>
      <c r="C31" s="48"/>
      <c r="D31" s="48"/>
      <c r="E31" s="48"/>
      <c r="F31" s="48"/>
      <c r="G31" s="46"/>
      <c r="I31" s="89" t="s">
        <v>132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1" t="s">
        <v>51</v>
      </c>
      <c r="P31" s="134" t="s">
        <v>130</v>
      </c>
      <c r="Q31" s="134" t="s">
        <v>131</v>
      </c>
      <c r="R31" s="11"/>
      <c r="S31" s="12"/>
      <c r="T31" s="78"/>
      <c r="U31" s="80"/>
      <c r="V31" s="80"/>
    </row>
    <row r="32" spans="1:22" outlineLevel="1" x14ac:dyDescent="0.25">
      <c r="A32" s="13" t="e">
        <f>ROUND(P32*100, 2)&amp;"% Avg. Fiscal Effort, "&amp;ROUND(Q32, 2)&amp;" Avg. Calendar Months"</f>
        <v>#DIV/0!</v>
      </c>
      <c r="B32" s="47">
        <f>O32*J32</f>
        <v>0</v>
      </c>
      <c r="C32" s="47">
        <f>IF($J$5&gt;1,IF($U$2&lt;&gt;0,IF(O32*(1+$O$5)&lt;=$U$2,O32*K32*(1+$O$5),$U$2*K32),O32*K32*(1+$O$5)),0)</f>
        <v>0</v>
      </c>
      <c r="D32" s="47">
        <f>IF($J$5&gt;2,IF($U$2&lt;&gt;0,IF(O32*(1+$O$5)^2&lt;=$U$2,O32*L32*(1+$O$5)^2,$U$2*L32),O32*L32*(1+$O$5)^2),0)</f>
        <v>0</v>
      </c>
      <c r="E32" s="47">
        <f>IF($J$5&gt;3,IF($U$2&lt;&gt;0,IF(O32*(1+$O$5)^3&lt;=$U$2,O32*M32*(1+$O$5)^3,$U$2*M32),O32*M32*(1+$O$5)^3),0)</f>
        <v>0</v>
      </c>
      <c r="F32" s="47">
        <f>IF($J$5&gt;4,IF($U$2&lt;&gt;0,IF(O32*(1+$O$5)^4&lt;=$U$2,O32*N32*(1+$O$5)^4,$U$2*N32),O32*N32*(1+$O$5)^4),0)</f>
        <v>0</v>
      </c>
      <c r="G32" s="46">
        <f>SUM(B32:F32)</f>
        <v>0</v>
      </c>
      <c r="H32" s="14"/>
      <c r="I32" s="89" t="s">
        <v>26</v>
      </c>
      <c r="J32" s="265">
        <v>0</v>
      </c>
      <c r="K32" s="265">
        <f>IF($J$5&gt;1,J32,0)</f>
        <v>0</v>
      </c>
      <c r="L32" s="265">
        <f>IF($J$5&gt;2,K32,0)</f>
        <v>0</v>
      </c>
      <c r="M32" s="265">
        <f>IF($J$5&gt;3,L32,0)</f>
        <v>0</v>
      </c>
      <c r="N32" s="265">
        <f>IF($J$5&gt;4,M32,0)</f>
        <v>0</v>
      </c>
      <c r="O32" s="128">
        <f>IF(U35="F",IF($U$2&lt;&gt;0,IF(T35&gt;$U$2,$U$2,T35),T35),0)</f>
        <v>0</v>
      </c>
      <c r="P32" s="135" t="e">
        <f>SUM(J31:N31)/(ROUNDUP($J$5,0)*12)</f>
        <v>#DIV/0!</v>
      </c>
      <c r="Q32" s="136" t="e">
        <f>(SUM(J31:N31)/(CEILING($J$5*12,12)))*12</f>
        <v>#DIV/0!</v>
      </c>
      <c r="R32" s="1"/>
      <c r="S32" s="1"/>
      <c r="T32" s="78"/>
      <c r="U32" s="80"/>
      <c r="V32" s="80"/>
    </row>
    <row r="33" spans="1:22" outlineLevel="1" x14ac:dyDescent="0.25">
      <c r="A33" s="376" t="e">
        <f>ROUND(P32*100,2)&amp;"% Annualized Effort, "&amp;ROUND(Q33,2)&amp;" Avg. Academic Months
"&amp;IF(SUM(J34:N34)&gt;0," and "&amp;Q34 &amp;" Avg. Summer Months", "")</f>
        <v>#DIV/0!</v>
      </c>
      <c r="B33" s="47">
        <f>J33*O33</f>
        <v>0</v>
      </c>
      <c r="C33" s="47">
        <f>IF($J$5&gt;1,IF($U$2&lt;&gt;0,IF(O33*(1+$O$5)&lt;=$U$2*0.75,O33*K33*(1+$O$5),$U$2*0.75*K33),O33*K33*(1+$O$5)),0)</f>
        <v>0</v>
      </c>
      <c r="D33" s="47">
        <f>IF($J$5&gt;2,IF($U$2&lt;&gt;0,IF(O33*(1+$O$5)^2&lt;=$U$2*0.75,O33*L33*(1+$O$5)^2,$U$2*0.75*L33),O33*L33*(1+$O$5)^2),0)</f>
        <v>0</v>
      </c>
      <c r="E33" s="47">
        <f>IF($J$5&gt;3,IF($U$2&lt;&gt;0,IF(O33*(1+$O$5)^3&lt;=$U$2*0.75,O33*M33*(1+$O$5)^3,$U$2*0.75*M33),O33*M33*(1+$O$5)^3),0)</f>
        <v>0</v>
      </c>
      <c r="F33" s="47">
        <f>IF($J$5&gt;4,IF($U$2&lt;&gt;0,IF(O33*(1+$O$5)^4&lt;=$U$2*0.75,O33*N33*(1+$O$5)^4,$U$2*0.75*N33),O33*N33*(1+$O$5)^4),0)</f>
        <v>0</v>
      </c>
      <c r="G33" s="46">
        <f>SUM(B33:F33)</f>
        <v>0</v>
      </c>
      <c r="H33" s="14"/>
      <c r="I33" s="89" t="s">
        <v>15</v>
      </c>
      <c r="J33" s="265">
        <v>0</v>
      </c>
      <c r="K33" s="265">
        <f t="shared" ref="K33:K34" si="20">IF($J$5&gt;1,J33,0)</f>
        <v>0</v>
      </c>
      <c r="L33" s="265">
        <f t="shared" ref="L33:L34" si="21">IF($J$5&gt;2,K33,0)</f>
        <v>0</v>
      </c>
      <c r="M33" s="265">
        <f t="shared" ref="M33:M34" si="22">IF($J$5&gt;3,L33,0)</f>
        <v>0</v>
      </c>
      <c r="N33" s="265">
        <f t="shared" ref="N33:N34" si="23">IF($J$5&gt;4,M33,0)</f>
        <v>0</v>
      </c>
      <c r="O33" s="128">
        <f>IF(U35="A",IF($U$2&lt;&gt;0,IF(T35&gt;($U$2/12*9),($U$2/12*9),T35),T35),0)</f>
        <v>0</v>
      </c>
      <c r="P33" s="143"/>
      <c r="Q33" s="137" t="e">
        <f>((SUM(J31:N31)-SUM(J34:N34))/(CEILING($J$5*9,9)))*9</f>
        <v>#DIV/0!</v>
      </c>
      <c r="R33" s="12"/>
      <c r="S33" s="12"/>
      <c r="T33" s="78"/>
      <c r="U33" s="80"/>
      <c r="V33" s="80"/>
    </row>
    <row r="34" spans="1:22" outlineLevel="1" x14ac:dyDescent="0.25">
      <c r="A34" s="376"/>
      <c r="B34" s="47">
        <f>J34/3*O34</f>
        <v>0</v>
      </c>
      <c r="C34" s="47">
        <f>IF($J$5&gt;1,IF($U$2&lt;&gt;0,IF(O34*(1+$O$5)&lt;=$U$2*0.25,O34*K34/3*(1+$O$5),$U$2*0.25*K34/3),O34*K34/3*(1+$O$5)),0)</f>
        <v>0</v>
      </c>
      <c r="D34" s="47">
        <f>IF($J$5&gt;2,IF($U$2&lt;&gt;0,IF(O34*(1+$O$5)^2&lt;=$U$2*0.25,O34*L34/3*(1+$O$5)^2,$U$2*0.25*L34/3),O34*L34/3*(1+$O$5)^2),0)</f>
        <v>0</v>
      </c>
      <c r="E34" s="47">
        <f>IF($J$5&gt;3,IF($U$2&lt;&gt;0,IF(O34*(1+$O$5)^3&lt;=$U$2*0.25,O34*M34/3*(1+$O$5)^3,$U$2*0.25*M34/3),O34*M34/3*(1+$O$5)^3),0)</f>
        <v>0</v>
      </c>
      <c r="F34" s="47">
        <f>IF($J$5&gt;4,IF($U$2&lt;&gt;0,IF(O34*(1+$O$5)^4&lt;=$U$2*0.25,O34*N34/3*(1+$O$5)^4,$U$2*0.25*N34/3),O34*N34/3*(1+$O$5)^4),0)</f>
        <v>0</v>
      </c>
      <c r="G34" s="46">
        <f>SUM(B34:F34)</f>
        <v>0</v>
      </c>
      <c r="H34" s="14"/>
      <c r="I34" s="89" t="s">
        <v>17</v>
      </c>
      <c r="J34" s="266">
        <v>0</v>
      </c>
      <c r="K34" s="266">
        <f t="shared" si="20"/>
        <v>0</v>
      </c>
      <c r="L34" s="266">
        <f t="shared" si="21"/>
        <v>0</v>
      </c>
      <c r="M34" s="266">
        <f t="shared" si="22"/>
        <v>0</v>
      </c>
      <c r="N34" s="266">
        <f t="shared" si="23"/>
        <v>0</v>
      </c>
      <c r="O34" s="128">
        <f>IF(U35="A",IF($U$2&lt;&gt;0,IF(T35/9*3&gt;($U$2/12*3),($U$2/12*3),T35/9*3),T35/9*3),0)</f>
        <v>0</v>
      </c>
      <c r="P34" s="138"/>
      <c r="Q34" s="138" t="e">
        <f>((SUM(J31:N31)-SUM(J33:N33)*9)/(CEILING($J$5*3,3)))*3</f>
        <v>#DIV/0!</v>
      </c>
      <c r="R34" s="12"/>
      <c r="S34" s="12"/>
      <c r="T34" s="1"/>
      <c r="U34" s="80"/>
      <c r="V34" s="80"/>
    </row>
    <row r="35" spans="1:22" outlineLevel="1" x14ac:dyDescent="0.25">
      <c r="A35" s="18"/>
      <c r="B35" s="47"/>
      <c r="C35" s="47"/>
      <c r="D35" s="48"/>
      <c r="E35" s="48"/>
      <c r="F35" s="48"/>
      <c r="G35" s="49"/>
      <c r="H35" s="19"/>
      <c r="I35" s="89" t="s">
        <v>111</v>
      </c>
      <c r="J35" s="130">
        <f>SUM(B32:B34)*$V35</f>
        <v>0</v>
      </c>
      <c r="K35" s="130">
        <f t="shared" ref="K35:N35" si="24">SUM(C32:C34)*$V35</f>
        <v>0</v>
      </c>
      <c r="L35" s="130">
        <f t="shared" si="24"/>
        <v>0</v>
      </c>
      <c r="M35" s="130">
        <f t="shared" si="24"/>
        <v>0</v>
      </c>
      <c r="N35" s="130">
        <f t="shared" si="24"/>
        <v>0</v>
      </c>
      <c r="O35" s="129"/>
      <c r="P35" s="138"/>
      <c r="Q35" s="138"/>
      <c r="R35" s="12"/>
      <c r="S35" s="12"/>
      <c r="T35" s="311">
        <v>0</v>
      </c>
      <c r="U35" s="312"/>
      <c r="V35" s="131">
        <f>$J$79</f>
        <v>0</v>
      </c>
    </row>
    <row r="36" spans="1:22" outlineLevel="1" x14ac:dyDescent="0.25">
      <c r="A36" s="18"/>
      <c r="B36" s="47"/>
      <c r="C36" s="47"/>
      <c r="D36" s="48"/>
      <c r="E36" s="48"/>
      <c r="F36" s="48"/>
      <c r="G36" s="49"/>
      <c r="H36" s="19"/>
      <c r="I36" s="115"/>
      <c r="J36" s="79"/>
      <c r="K36" s="79"/>
      <c r="L36" s="79"/>
      <c r="M36" s="79"/>
      <c r="N36" s="79"/>
      <c r="O36" s="21"/>
      <c r="P36" s="138"/>
      <c r="Q36" s="138"/>
      <c r="R36" s="12"/>
      <c r="S36" s="12"/>
      <c r="T36" s="78"/>
      <c r="U36" s="80"/>
      <c r="V36" s="80"/>
    </row>
    <row r="37" spans="1:22" outlineLevel="1" x14ac:dyDescent="0.25">
      <c r="A37" s="22" t="s">
        <v>84</v>
      </c>
      <c r="B37" s="47"/>
      <c r="C37" s="48"/>
      <c r="D37" s="48"/>
      <c r="E37" s="48"/>
      <c r="F37" s="48"/>
      <c r="G37" s="46"/>
      <c r="I37" s="89" t="s">
        <v>132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1" t="s">
        <v>51</v>
      </c>
      <c r="P37" s="134" t="s">
        <v>130</v>
      </c>
      <c r="Q37" s="134" t="s">
        <v>131</v>
      </c>
      <c r="R37" s="11"/>
      <c r="S37" s="12"/>
      <c r="T37" s="78"/>
      <c r="U37" s="80"/>
      <c r="V37" s="80"/>
    </row>
    <row r="38" spans="1:22" outlineLevel="1" x14ac:dyDescent="0.25">
      <c r="A38" s="13" t="e">
        <f>ROUND(P38*100, 2)&amp;"% Avg. Fiscal Effort, "&amp;ROUND(Q38, 2)&amp;" Avg. Calendar Months"</f>
        <v>#DIV/0!</v>
      </c>
      <c r="B38" s="47">
        <f>O38*J38</f>
        <v>0</v>
      </c>
      <c r="C38" s="47">
        <f>IF($J$5&gt;1,IF($U$2&lt;&gt;0,IF(O38*(1+$O$5)&lt;=$U$2,O38*K38*(1+$O$5),$U$2*K38),O38*K38*(1+$O$5)),0)</f>
        <v>0</v>
      </c>
      <c r="D38" s="47">
        <f>IF($J$5&gt;2,IF($U$2&lt;&gt;0,IF(O38*(1+$O$5)^2&lt;=$U$2,O38*L38*(1+$O$5)^2,$U$2*L38),O38*L38*(1+$O$5)^2),0)</f>
        <v>0</v>
      </c>
      <c r="E38" s="47">
        <f>IF($J$5&gt;3,IF($U$2&lt;&gt;0,IF(O38*(1+$O$5)^3&lt;=$U$2,O38*M38*(1+$O$5)^3,$U$2*M38),O38*M38*(1+$O$5)^3),0)</f>
        <v>0</v>
      </c>
      <c r="F38" s="47">
        <f>IF($J$5&gt;4,IF($U$2&lt;&gt;0,IF(O38*(1+$O$5)^4&lt;=$U$2,O38*N38*(1+$O$5)^4,$U$2*N38),O38*N38*(1+$O$5)^4),0)</f>
        <v>0</v>
      </c>
      <c r="G38" s="46">
        <f>SUM(B38:F38)</f>
        <v>0</v>
      </c>
      <c r="H38" s="14"/>
      <c r="I38" s="89" t="s">
        <v>26</v>
      </c>
      <c r="J38" s="265">
        <v>0</v>
      </c>
      <c r="K38" s="265">
        <f>IF($J$5&gt;1,J38,0)</f>
        <v>0</v>
      </c>
      <c r="L38" s="265">
        <f>IF($J$5&gt;2,K38,0)</f>
        <v>0</v>
      </c>
      <c r="M38" s="265">
        <f>IF($J$5&gt;3,L38,0)</f>
        <v>0</v>
      </c>
      <c r="N38" s="265">
        <f>IF($J$5&gt;4,M38,0)</f>
        <v>0</v>
      </c>
      <c r="O38" s="128">
        <f>IF(U41="F",IF($U$2&lt;&gt;0,IF(T41&gt;$U$2,$U$2,T41),T41),0)</f>
        <v>0</v>
      </c>
      <c r="P38" s="135" t="e">
        <f>SUM(J37:N37)/(ROUNDUP($J$5,0)*12)</f>
        <v>#DIV/0!</v>
      </c>
      <c r="Q38" s="136" t="e">
        <f>(SUM(J37:N37)/(CEILING($J$5*12,12)))*12</f>
        <v>#DIV/0!</v>
      </c>
      <c r="R38" s="1"/>
      <c r="S38" s="1"/>
      <c r="T38" s="78"/>
      <c r="U38" s="80"/>
      <c r="V38" s="80"/>
    </row>
    <row r="39" spans="1:22" ht="15.75" customHeight="1" outlineLevel="1" x14ac:dyDescent="0.25">
      <c r="A39" s="376" t="e">
        <f>ROUND(P38*100,2)&amp;"% Annualized Effort, "&amp;ROUND(Q39,2)&amp;" Avg. Academic Months
"&amp;IF(SUM(J40:N40)&gt;0," and "&amp;Q40 &amp;" Avg. Summer Months", "")</f>
        <v>#DIV/0!</v>
      </c>
      <c r="B39" s="47">
        <f>J39*O39</f>
        <v>0</v>
      </c>
      <c r="C39" s="47">
        <f>IF($J$5&gt;1,IF($U$2&lt;&gt;0,IF(O39*(1+$O$5)&lt;=$U$2*0.75,O39*K39*(1+$O$5),$U$2*0.75*K39),O39*K39*(1+$O$5)),0)</f>
        <v>0</v>
      </c>
      <c r="D39" s="47">
        <f>IF($J$5&gt;2,IF($U$2&lt;&gt;0,IF(O39*(1+$O$5)^2&lt;=$U$2*0.75,O39*L39*(1+$O$5)^2,$U$2*0.75*L39),O39*L39*(1+$O$5)^2),0)</f>
        <v>0</v>
      </c>
      <c r="E39" s="47">
        <f>IF($J$5&gt;3,IF($U$2&lt;&gt;0,IF(O39*(1+$O$5)^3&lt;=$U$2*0.75,O39*M39*(1+$O$5)^3,$U$2*0.75*M39),O39*M39*(1+$O$5)^3),0)</f>
        <v>0</v>
      </c>
      <c r="F39" s="47">
        <f>IF($J$5&gt;4,IF($U$2&lt;&gt;0,IF(O39*(1+$O$5)^4&lt;=$U$2*0.75,O39*N39*(1+$O$5)^4,$U$2*0.75*N39),O39*N39*(1+$O$5)^4),0)</f>
        <v>0</v>
      </c>
      <c r="G39" s="46">
        <f>SUM(B39:F39)</f>
        <v>0</v>
      </c>
      <c r="H39" s="14"/>
      <c r="I39" s="89" t="s">
        <v>15</v>
      </c>
      <c r="J39" s="265">
        <v>0</v>
      </c>
      <c r="K39" s="265">
        <f t="shared" ref="K39:K40" si="25">IF($J$5&gt;1,J39,0)</f>
        <v>0</v>
      </c>
      <c r="L39" s="265">
        <f t="shared" ref="L39:L40" si="26">IF($J$5&gt;2,K39,0)</f>
        <v>0</v>
      </c>
      <c r="M39" s="265">
        <f t="shared" ref="M39:M40" si="27">IF($J$5&gt;3,L39,0)</f>
        <v>0</v>
      </c>
      <c r="N39" s="265">
        <f t="shared" ref="N39:N40" si="28">IF($J$5&gt;4,M39,0)</f>
        <v>0</v>
      </c>
      <c r="O39" s="128">
        <f>IF(U41="A",IF($U$2&lt;&gt;0,IF(T41&gt;($U$2/12*9),($U$2/12*9),T41),T41),0)</f>
        <v>0</v>
      </c>
      <c r="P39" s="143"/>
      <c r="Q39" s="137" t="e">
        <f>((SUM(J37:N37)-SUM(J40:N40))/(CEILING($J$5*9,9)))*9</f>
        <v>#DIV/0!</v>
      </c>
      <c r="R39" s="12"/>
      <c r="S39" s="12"/>
      <c r="T39" s="78"/>
      <c r="U39" s="80"/>
      <c r="V39" s="80"/>
    </row>
    <row r="40" spans="1:22" outlineLevel="1" x14ac:dyDescent="0.25">
      <c r="A40" s="376"/>
      <c r="B40" s="47">
        <f>J40/3*O40</f>
        <v>0</v>
      </c>
      <c r="C40" s="47">
        <f>IF($J$5&gt;1,IF($U$2&lt;&gt;0,IF(O40*(1+$O$5)&lt;=$U$2*0.25,O40*K40/3*(1+$O$5),$U$2*0.25*K40/3),O40*K40/3*(1+$O$5)),0)</f>
        <v>0</v>
      </c>
      <c r="D40" s="47">
        <f>IF($J$5&gt;2,IF($U$2&lt;&gt;0,IF(O40*(1+$O$5)^2&lt;=$U$2*0.25,O40*L40/3*(1+$O$5)^2,$U$2*0.25*L40/3),O40*L40/3*(1+$O$5)^2),0)</f>
        <v>0</v>
      </c>
      <c r="E40" s="47">
        <f>IF($J$5&gt;3,IF($U$2&lt;&gt;0,IF(O40*(1+$O$5)^3&lt;=$U$2*0.25,O40*M40/3*(1+$O$5)^3,$U$2*0.25*M40/3),O40*M40/3*(1+$O$5)^3),0)</f>
        <v>0</v>
      </c>
      <c r="F40" s="47">
        <f>IF($J$5&gt;4,IF($U$2&lt;&gt;0,IF(O40*(1+$O$5)^4&lt;=$U$2*0.25,O40*N40/3*(1+$O$5)^4,$U$2*0.25*N40/3),O40*N40/3*(1+$O$5)^4),0)</f>
        <v>0</v>
      </c>
      <c r="G40" s="46">
        <f>SUM(B40:F40)</f>
        <v>0</v>
      </c>
      <c r="H40" s="14"/>
      <c r="I40" s="89" t="s">
        <v>17</v>
      </c>
      <c r="J40" s="266">
        <v>0</v>
      </c>
      <c r="K40" s="266">
        <f t="shared" si="25"/>
        <v>0</v>
      </c>
      <c r="L40" s="266">
        <f t="shared" si="26"/>
        <v>0</v>
      </c>
      <c r="M40" s="266">
        <f t="shared" si="27"/>
        <v>0</v>
      </c>
      <c r="N40" s="266">
        <f t="shared" si="28"/>
        <v>0</v>
      </c>
      <c r="O40" s="128">
        <f>IF(U41="A",IF($U$2&lt;&gt;0,IF(T41/9*3&gt;($U$2/12*3),($U$2/12*3),T41/9*3),T41/9*3),0)</f>
        <v>0</v>
      </c>
      <c r="P40" s="138"/>
      <c r="Q40" s="138" t="e">
        <f>((SUM(J37:N37)-SUM(J39:N39)*9)/(CEILING($J$5*3,3)))*3</f>
        <v>#DIV/0!</v>
      </c>
      <c r="R40" s="12"/>
      <c r="S40" s="12"/>
      <c r="T40" s="1"/>
      <c r="U40" s="80"/>
      <c r="V40" s="80"/>
    </row>
    <row r="41" spans="1:22" outlineLevel="1" x14ac:dyDescent="0.25">
      <c r="A41" s="18"/>
      <c r="B41" s="47"/>
      <c r="C41" s="47"/>
      <c r="D41" s="48"/>
      <c r="E41" s="48"/>
      <c r="F41" s="48"/>
      <c r="G41" s="49"/>
      <c r="H41" s="19"/>
      <c r="I41" s="89" t="s">
        <v>111</v>
      </c>
      <c r="J41" s="130">
        <f>SUM(B38:B40)*$V41</f>
        <v>0</v>
      </c>
      <c r="K41" s="130">
        <f t="shared" ref="K41:N41" si="29">SUM(C38:C40)*$V41</f>
        <v>0</v>
      </c>
      <c r="L41" s="130">
        <f t="shared" si="29"/>
        <v>0</v>
      </c>
      <c r="M41" s="130">
        <f t="shared" si="29"/>
        <v>0</v>
      </c>
      <c r="N41" s="130">
        <f t="shared" si="29"/>
        <v>0</v>
      </c>
      <c r="O41" s="129"/>
      <c r="P41" s="138"/>
      <c r="Q41" s="138"/>
      <c r="R41" s="12"/>
      <c r="S41" s="12"/>
      <c r="T41" s="311">
        <v>0</v>
      </c>
      <c r="U41" s="312"/>
      <c r="V41" s="131">
        <f>$J$79</f>
        <v>0</v>
      </c>
    </row>
    <row r="42" spans="1:22" outlineLevel="1" x14ac:dyDescent="0.25">
      <c r="A42" s="18"/>
      <c r="B42" s="47"/>
      <c r="C42" s="47"/>
      <c r="D42" s="48"/>
      <c r="E42" s="48"/>
      <c r="F42" s="48"/>
      <c r="G42" s="49"/>
      <c r="H42" s="19"/>
      <c r="I42" s="115"/>
      <c r="J42" s="79"/>
      <c r="K42" s="79"/>
      <c r="L42" s="79"/>
      <c r="M42" s="79"/>
      <c r="N42" s="79"/>
      <c r="O42" s="21"/>
      <c r="P42" s="138"/>
      <c r="Q42" s="138"/>
      <c r="R42" s="12"/>
      <c r="S42" s="12"/>
      <c r="T42" s="78"/>
      <c r="U42" s="80"/>
      <c r="V42" s="80"/>
    </row>
    <row r="43" spans="1:22" outlineLevel="1" x14ac:dyDescent="0.25">
      <c r="A43" s="13"/>
      <c r="B43" s="47"/>
      <c r="C43" s="47"/>
      <c r="D43" s="47"/>
      <c r="E43" s="47"/>
      <c r="F43" s="47"/>
      <c r="G43" s="46"/>
      <c r="H43" s="14"/>
      <c r="I43" s="34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85" t="s">
        <v>51</v>
      </c>
      <c r="P43" s="135"/>
      <c r="Q43" s="135"/>
      <c r="R43" s="1"/>
      <c r="S43" s="1"/>
      <c r="T43" s="1"/>
      <c r="U43" s="78"/>
      <c r="V43" s="80"/>
    </row>
    <row r="44" spans="1:22" outlineLevel="1" x14ac:dyDescent="0.25">
      <c r="A44" s="22" t="str">
        <f>"TBN, Post-doc ("&amp;J44&amp;")"</f>
        <v>TBN, Post-doc ()</v>
      </c>
      <c r="B44" s="47"/>
      <c r="C44" s="47"/>
      <c r="D44" s="48"/>
      <c r="E44" s="48"/>
      <c r="F44" s="48"/>
      <c r="G44" s="46"/>
      <c r="H44" s="14"/>
      <c r="I44" s="89" t="s">
        <v>16</v>
      </c>
      <c r="J44" s="314"/>
      <c r="K44" s="116"/>
      <c r="L44" s="116"/>
      <c r="M44" s="116"/>
      <c r="N44" s="116"/>
      <c r="O44" s="313"/>
      <c r="P44" s="135"/>
      <c r="Q44" s="135"/>
      <c r="R44" s="1"/>
      <c r="S44" s="1"/>
      <c r="T44" s="1"/>
      <c r="U44" s="80"/>
      <c r="V44" s="80"/>
    </row>
    <row r="45" spans="1:22" outlineLevel="1" x14ac:dyDescent="0.25">
      <c r="A45" s="13" t="str">
        <f>ROUND(J45*100,2)&amp;"% FY Effort, "&amp;ROUND(J45*12,2)&amp;" Calendar Months"</f>
        <v>0% FY Effort, 0 Calendar Months</v>
      </c>
      <c r="B45" s="47">
        <f>J44*O44*J45</f>
        <v>0</v>
      </c>
      <c r="C45" s="47">
        <f>IF($J$5&gt;1, O44*K45*(1+$O$5), 0)</f>
        <v>0</v>
      </c>
      <c r="D45" s="47">
        <f>IF($J$5&gt;2, O44*L45*(1+$O$5)^2, 0)</f>
        <v>0</v>
      </c>
      <c r="E45" s="47">
        <f>IF($J$5&gt;3, O44*M45*(1+$O$5)^3, 0)</f>
        <v>0</v>
      </c>
      <c r="F45" s="47">
        <f>IF($J$5&gt;4, O44*N45*(1+$O$5)^4, 0)</f>
        <v>0</v>
      </c>
      <c r="G45" s="46">
        <f>SUM(B45:F45)</f>
        <v>0</v>
      </c>
      <c r="H45" s="14"/>
      <c r="I45" s="90" t="s">
        <v>26</v>
      </c>
      <c r="J45" s="315">
        <v>0</v>
      </c>
      <c r="K45" s="315">
        <f>IF($J$5&gt;1,J45,0)</f>
        <v>0</v>
      </c>
      <c r="L45" s="315">
        <f>IF($J$5&gt;2,K45,0)</f>
        <v>0</v>
      </c>
      <c r="M45" s="315">
        <f>IF($J$5&gt;3,L45,0)</f>
        <v>0</v>
      </c>
      <c r="N45" s="315">
        <f>IF($J$5&gt;4,M45,0)</f>
        <v>0</v>
      </c>
      <c r="O45" s="21"/>
      <c r="P45" s="135"/>
      <c r="Q45" s="135"/>
      <c r="R45" s="1"/>
      <c r="S45" s="1"/>
      <c r="T45" s="1"/>
      <c r="U45" s="80"/>
      <c r="V45" s="80"/>
    </row>
    <row r="46" spans="1:22" outlineLevel="1" x14ac:dyDescent="0.25">
      <c r="A46" s="13"/>
      <c r="B46" s="47"/>
      <c r="C46" s="47"/>
      <c r="D46" s="48"/>
      <c r="E46" s="48"/>
      <c r="F46" s="48"/>
      <c r="G46" s="46"/>
      <c r="H46" s="14"/>
      <c r="I46" s="4"/>
      <c r="O46" s="41" t="s">
        <v>51</v>
      </c>
      <c r="P46" s="135"/>
      <c r="Q46" s="135"/>
      <c r="R46" s="1"/>
      <c r="S46" s="1"/>
      <c r="T46" s="1"/>
      <c r="U46" s="80"/>
      <c r="V46" s="80"/>
    </row>
    <row r="47" spans="1:22" outlineLevel="1" x14ac:dyDescent="0.25">
      <c r="A47" s="22" t="str">
        <f>"TBN, Post-doc ("&amp;J47&amp;")"</f>
        <v>TBN, Post-doc ()</v>
      </c>
      <c r="B47" s="47"/>
      <c r="C47" s="47"/>
      <c r="D47" s="48"/>
      <c r="E47" s="48"/>
      <c r="F47" s="48"/>
      <c r="G47" s="46"/>
      <c r="H47" s="14"/>
      <c r="I47" s="89" t="s">
        <v>16</v>
      </c>
      <c r="J47" s="314"/>
      <c r="K47" s="116"/>
      <c r="L47" s="116"/>
      <c r="M47" s="116"/>
      <c r="N47" s="116"/>
      <c r="O47" s="313"/>
      <c r="P47" s="135"/>
      <c r="Q47" s="135"/>
      <c r="R47" s="1"/>
      <c r="S47" s="1"/>
      <c r="T47" s="1"/>
      <c r="U47" s="80"/>
      <c r="V47" s="80"/>
    </row>
    <row r="48" spans="1:22" outlineLevel="1" x14ac:dyDescent="0.25">
      <c r="A48" s="13" t="str">
        <f>ROUND(J48*100,2)&amp;"% FY Effort, "&amp;ROUND(J48*12,2)&amp;" Calendar Months"</f>
        <v>0% FY Effort, 0 Calendar Months</v>
      </c>
      <c r="B48" s="47">
        <f>J47*O47*J48</f>
        <v>0</v>
      </c>
      <c r="C48" s="47">
        <f>IF($J$5&gt;1, O47*K48*(1+$O$5), 0)</f>
        <v>0</v>
      </c>
      <c r="D48" s="47">
        <f>IF($J$5&gt;2, O47*L48*(1+$O$5)^2, 0)</f>
        <v>0</v>
      </c>
      <c r="E48" s="47">
        <f>IF($J$5&gt;3, O47*M48*(1+$O$5)^3, 0)</f>
        <v>0</v>
      </c>
      <c r="F48" s="47">
        <f>IF($J$5&gt;4, O47*N48*(1+$O$5)^4, 0)</f>
        <v>0</v>
      </c>
      <c r="G48" s="46">
        <f>SUM(B48:F48)</f>
        <v>0</v>
      </c>
      <c r="H48" s="14"/>
      <c r="I48" s="90" t="s">
        <v>26</v>
      </c>
      <c r="J48" s="315">
        <v>0</v>
      </c>
      <c r="K48" s="315">
        <f>IF($J$5&gt;1,J48,0)</f>
        <v>0</v>
      </c>
      <c r="L48" s="315">
        <f>IF($J$5&gt;2,K48,0)</f>
        <v>0</v>
      </c>
      <c r="M48" s="315">
        <f>IF($J$5&gt;3,L48,0)</f>
        <v>0</v>
      </c>
      <c r="N48" s="315">
        <f>IF($J$5&gt;4,M48,0)</f>
        <v>0</v>
      </c>
      <c r="O48" s="21"/>
      <c r="P48" s="135"/>
      <c r="Q48" s="135"/>
      <c r="R48" s="1"/>
      <c r="S48" s="1"/>
      <c r="T48" s="1"/>
      <c r="U48" s="80"/>
      <c r="V48" s="80"/>
    </row>
    <row r="49" spans="1:22" outlineLevel="1" x14ac:dyDescent="0.25">
      <c r="A49" s="13"/>
      <c r="B49" s="47"/>
      <c r="C49" s="47"/>
      <c r="D49" s="47"/>
      <c r="E49" s="47"/>
      <c r="F49" s="47"/>
      <c r="G49" s="46"/>
      <c r="H49" s="14"/>
      <c r="I49" s="4"/>
      <c r="O49" s="41" t="s">
        <v>51</v>
      </c>
      <c r="P49" s="135"/>
      <c r="Q49" s="135"/>
      <c r="R49" s="1"/>
      <c r="S49" s="1"/>
      <c r="T49" s="1"/>
      <c r="U49" s="80"/>
      <c r="V49" s="80"/>
    </row>
    <row r="50" spans="1:22" outlineLevel="1" x14ac:dyDescent="0.25">
      <c r="A50" s="22" t="str">
        <f>"TBN, Post-doc ("&amp;J50&amp;")"</f>
        <v>TBN, Post-doc ()</v>
      </c>
      <c r="B50" s="47"/>
      <c r="C50" s="47"/>
      <c r="D50" s="47"/>
      <c r="E50" s="47"/>
      <c r="F50" s="47"/>
      <c r="G50" s="46"/>
      <c r="H50" s="14"/>
      <c r="I50" s="89" t="s">
        <v>16</v>
      </c>
      <c r="J50" s="314"/>
      <c r="K50" s="116"/>
      <c r="L50" s="116"/>
      <c r="M50" s="116"/>
      <c r="N50" s="116"/>
      <c r="O50" s="313"/>
      <c r="P50" s="135"/>
      <c r="Q50" s="135"/>
      <c r="R50" s="1"/>
      <c r="S50" s="1"/>
      <c r="T50" s="1"/>
      <c r="U50" s="80"/>
      <c r="V50" s="80"/>
    </row>
    <row r="51" spans="1:22" outlineLevel="1" x14ac:dyDescent="0.25">
      <c r="A51" s="13" t="str">
        <f>ROUND(J51*100,2)&amp;"% FY Effort, "&amp;ROUND(J51*12,2)&amp;" Calendar Months"</f>
        <v>0% FY Effort, 0 Calendar Months</v>
      </c>
      <c r="B51" s="47">
        <f>J50*O50*J51</f>
        <v>0</v>
      </c>
      <c r="C51" s="47">
        <f>IF($J$5&gt;1, O50*K51*(1+$O$5), 0)</f>
        <v>0</v>
      </c>
      <c r="D51" s="47">
        <f>IF($J$5&gt;2, O50*L51*(1+$O$5)^2, 0)</f>
        <v>0</v>
      </c>
      <c r="E51" s="47">
        <f>IF($J$5&gt;3, O50*M51*(1+$O$5)^3, 0)</f>
        <v>0</v>
      </c>
      <c r="F51" s="47">
        <f>IF($J$5&gt;4, O50*N51*(1+$O$5)^4, 0)</f>
        <v>0</v>
      </c>
      <c r="G51" s="46">
        <f>SUM(B51:F51)</f>
        <v>0</v>
      </c>
      <c r="H51" s="14"/>
      <c r="I51" s="90" t="s">
        <v>26</v>
      </c>
      <c r="J51" s="315">
        <v>0</v>
      </c>
      <c r="K51" s="315">
        <f>IF($J$5&gt;1,J51,0)</f>
        <v>0</v>
      </c>
      <c r="L51" s="315">
        <f>IF($J$5&gt;2,K51,0)</f>
        <v>0</v>
      </c>
      <c r="M51" s="315">
        <f>IF($J$5&gt;3,L51,0)</f>
        <v>0</v>
      </c>
      <c r="N51" s="315">
        <f>IF($J$5&gt;4,M51,0)</f>
        <v>0</v>
      </c>
      <c r="O51" s="21"/>
      <c r="P51" s="135"/>
      <c r="Q51" s="135"/>
      <c r="R51" s="1"/>
      <c r="S51" s="1"/>
      <c r="T51" s="1"/>
      <c r="U51" s="80"/>
      <c r="V51" s="80"/>
    </row>
    <row r="52" spans="1:22" outlineLevel="1" x14ac:dyDescent="0.25">
      <c r="B52" s="47"/>
      <c r="C52" s="47"/>
      <c r="D52" s="48"/>
      <c r="E52" s="48"/>
      <c r="F52" s="48"/>
      <c r="G52" s="46"/>
      <c r="H52" s="14"/>
      <c r="I52" s="45" t="s">
        <v>48</v>
      </c>
      <c r="J52" s="88" t="b">
        <f>IF(J54&gt;0%,IF(J54&lt;50%,IF(J54&gt;0,($U$3/2),0),$U$3),IF(J55&gt;0%,IF(J55&lt;50%,IF(J55&gt;0,($U$3/2),0),$U$3)))</f>
        <v>0</v>
      </c>
      <c r="K52" s="88" t="b">
        <f>IF(K54&gt;0%,IF(K54&lt;50%,IF(K54&gt;0,(($U$3*(1+$V$3))/2),0),($U$3*(1+$V$3))),IF(K55&gt;0%,IF(K55&lt;50%,IF(K55&gt;0,(($U$3*(1+$V$3))/2),0),($U$3*(1+$V$3)))))</f>
        <v>0</v>
      </c>
      <c r="L52" s="88" t="b">
        <f>IF(L54&gt;0%,IF(L54&lt;50%,IF(L54&gt;0,(($U$3*(1+$V$3)^2)/2),0),($U$3*(1+$V$3)^2)),IF(L55&gt;0%,IF(L55&lt;50%,IF(L55&gt;0,(($U$3*(1+$V$3)^2)/2),0),($U$3*(1+$V$3)^2))))</f>
        <v>0</v>
      </c>
      <c r="M52" s="88" t="b">
        <f>IF(M54&gt;0%,IF(M54&lt;50%,IF(M54&gt;0,(($U$3*(1+$V$3)^3)/2),0),($U$3*(1+$V$3)^3)),IF(M55&gt;0%,IF(M55&lt;50%,IF(M55&gt;0,(($U$3*(1+$V$3)^3)/2),0),($U$3*(1+$V$3)^3))))</f>
        <v>0</v>
      </c>
      <c r="N52" s="88" t="b">
        <f>IF(N54&gt;0%,IF(N54&lt;50%,IF(N54&gt;0,(($U$3*(1+$V$3)^4)/2),0),($U$3*(1+$V$3)^4)),IF(N55&gt;0%,IF(N55&lt;50%,IF(N55&gt;0,(($U$3*(1+$V$3)^4)/2),0),($U$3*(1+$V$3)^4))))</f>
        <v>0</v>
      </c>
      <c r="O52" s="41" t="s">
        <v>51</v>
      </c>
      <c r="P52" s="134"/>
      <c r="Q52" s="134"/>
      <c r="R52" s="1"/>
      <c r="S52" s="17"/>
      <c r="T52"/>
      <c r="U52"/>
      <c r="V52" s="80"/>
    </row>
    <row r="53" spans="1:22" outlineLevel="1" x14ac:dyDescent="0.25">
      <c r="A53" s="22" t="s">
        <v>85</v>
      </c>
      <c r="B53" s="47"/>
      <c r="C53" s="47"/>
      <c r="D53" s="48"/>
      <c r="E53" s="48"/>
      <c r="F53" s="48"/>
      <c r="G53" s="46"/>
      <c r="H53" s="14"/>
      <c r="I53" s="89" t="s">
        <v>132</v>
      </c>
      <c r="J53" s="5">
        <f>IF($U53="F",J54*12,SUM(J55*9,J56))</f>
        <v>0</v>
      </c>
      <c r="K53" s="5">
        <f t="shared" ref="K53:N53" si="30">IF($U53="F",K54*12,SUM(K55*9,K56))</f>
        <v>0</v>
      </c>
      <c r="L53" s="5">
        <f t="shared" si="30"/>
        <v>0</v>
      </c>
      <c r="M53" s="5">
        <f t="shared" si="30"/>
        <v>0</v>
      </c>
      <c r="N53" s="5">
        <f t="shared" si="30"/>
        <v>0</v>
      </c>
      <c r="O53" s="41"/>
      <c r="P53" s="134" t="s">
        <v>130</v>
      </c>
      <c r="Q53" s="134" t="s">
        <v>131</v>
      </c>
      <c r="R53" s="1"/>
      <c r="S53" s="1"/>
      <c r="T53" s="311">
        <v>0</v>
      </c>
      <c r="U53" s="312"/>
    </row>
    <row r="54" spans="1:22" outlineLevel="1" x14ac:dyDescent="0.25">
      <c r="A54" s="13" t="e">
        <f>ROUND(P54*100, 2)&amp;"% Avg. Fiscal Effort, "&amp;ROUND(Q54, 2)&amp;" Avg. Calendar Months"</f>
        <v>#DIV/0!</v>
      </c>
      <c r="B54" s="47">
        <f>O54*J54</f>
        <v>0</v>
      </c>
      <c r="C54" s="47">
        <f>IF($J$5&gt;1,IF($U$2&lt;&gt;0,IF(O54*(1+$O$5)&lt;=$U$2,O54*K54*(1+$O$5),$U$2*K54),O54*K54*(1+$O$5)),0)</f>
        <v>0</v>
      </c>
      <c r="D54" s="47">
        <f>IF($J$5&gt;2,IF($U$2&lt;&gt;0,IF(O54*(1+$O$5)^2&lt;=$U$2,O54*L54*(1+$O$5)^2,$U$2*L54),O54*L54*(1+$O$5)^2),0)</f>
        <v>0</v>
      </c>
      <c r="E54" s="47">
        <f>IF($J$5&gt;3,IF($U$2&lt;&gt;0,IF(O54*(1+$O$5)^3&lt;=$U$2,O54*M54*(1+$O$5)^3,$U$2*M54),O54*M54*(1+$O$5)^3),0)</f>
        <v>0</v>
      </c>
      <c r="F54" s="47">
        <f>IF($J$5&gt;4,IF($U$2&lt;&gt;0,IF(O54*(1+$O$5)^4&lt;=$U$2,O54*N54*(1+$O$5)^4,$U$2*N54),O54*N54*(1+$O$5)^4),0)</f>
        <v>0</v>
      </c>
      <c r="G54" s="46">
        <f>SUM(B54:F54)</f>
        <v>0</v>
      </c>
      <c r="H54" s="14"/>
      <c r="I54" s="89" t="s">
        <v>26</v>
      </c>
      <c r="J54" s="265">
        <v>0</v>
      </c>
      <c r="K54" s="265">
        <f>IF($J$5&gt;1,J54,0)</f>
        <v>0</v>
      </c>
      <c r="L54" s="265">
        <f>IF($J$5&gt;2,K54,0)</f>
        <v>0</v>
      </c>
      <c r="M54" s="265">
        <f>IF($J$5&gt;3,L54,0)</f>
        <v>0</v>
      </c>
      <c r="N54" s="265">
        <f>IF($J$5&gt;4,M54,0)</f>
        <v>0</v>
      </c>
      <c r="O54" s="128">
        <f>IF(U53="F",IF($U$2&lt;&gt;0,IF(T53&gt;$U$2,$U$2,T53),T53),0)</f>
        <v>0</v>
      </c>
      <c r="P54" s="135" t="e">
        <f>SUM(J53:N53)/(ROUNDUP($J$5,0)*12)</f>
        <v>#DIV/0!</v>
      </c>
      <c r="Q54" s="136" t="e">
        <f>(SUM(J53:N53)/(CEILING($J$5*12,12)))*12</f>
        <v>#DIV/0!</v>
      </c>
      <c r="R54" s="1"/>
      <c r="S54" s="1"/>
      <c r="T54" s="78"/>
      <c r="U54" s="80"/>
      <c r="V54" s="80"/>
    </row>
    <row r="55" spans="1:22" outlineLevel="1" x14ac:dyDescent="0.25">
      <c r="A55" s="376" t="e">
        <f>ROUND(P54*100,2)&amp;"% Annualized Effort, "&amp;ROUND(Q55,2)&amp;" Avg. Academic Months
"&amp;IF(SUM(J56:N56)&gt;0," and "&amp;Q56 &amp;" Avg. Summer Months", "")</f>
        <v>#DIV/0!</v>
      </c>
      <c r="B55" s="47">
        <f>J55*O55</f>
        <v>0</v>
      </c>
      <c r="C55" s="47">
        <f>IF($J$5&gt;1,IF($U$2&lt;&gt;0,IF(O55*(1+$O$5)&lt;=$U$2*0.75,O55*K55*(1+$O$5),$U$2*0.75*K55),O55*K55*(1+$O$5)),0)</f>
        <v>0</v>
      </c>
      <c r="D55" s="47">
        <f>IF($J$5&gt;2,IF($U$2&lt;&gt;0,IF(O55*(1+$O$5)^2&lt;=$U$2*0.75,O55*L55*(1+$O$5)^2,$U$2*0.75*L55),O55*L55*(1+$O$5)^2),0)</f>
        <v>0</v>
      </c>
      <c r="E55" s="47">
        <f>IF($J$5&gt;3,IF($U$2&lt;&gt;0,IF(O55*(1+$O$5)^3&lt;=$U$2*0.75,O55*M55*(1+$O$5)^3,$U$2*0.75*M55),O55*M55*(1+$O$5)^3),0)</f>
        <v>0</v>
      </c>
      <c r="F55" s="47">
        <f>IF($J$5&gt;4,IF($U$2&lt;&gt;0,IF(O55*(1+$O$5)^4&lt;=$U$2*0.75,O55*N55*(1+$O$5)^4,$U$2*0.75*N55),O55*N55*(1+$O$5)^4),0)</f>
        <v>0</v>
      </c>
      <c r="G55" s="46">
        <f>SUM(B55:F55)</f>
        <v>0</v>
      </c>
      <c r="H55" s="14"/>
      <c r="I55" s="89" t="s">
        <v>15</v>
      </c>
      <c r="J55" s="265">
        <v>0</v>
      </c>
      <c r="K55" s="265">
        <f t="shared" ref="K55:K56" si="31">IF($J$5&gt;1,J55,0)</f>
        <v>0</v>
      </c>
      <c r="L55" s="265">
        <f t="shared" ref="L55:L56" si="32">IF($J$5&gt;2,K55,0)</f>
        <v>0</v>
      </c>
      <c r="M55" s="265">
        <f t="shared" ref="M55:M56" si="33">IF($J$5&gt;3,L55,0)</f>
        <v>0</v>
      </c>
      <c r="N55" s="265">
        <f t="shared" ref="N55:N56" si="34">IF($J$5&gt;4,M55,0)</f>
        <v>0</v>
      </c>
      <c r="O55" s="128">
        <f>IF(U53="A",IF($U$2&lt;&gt;0,IF(T53&gt;($U$2/12*9),($U$2/12*9),T53),T53),0)</f>
        <v>0</v>
      </c>
      <c r="P55" s="143"/>
      <c r="Q55" s="137" t="e">
        <f>((SUM(J53:N53)-SUM(J56:N56))/(CEILING($J$5*9,9)))*9</f>
        <v>#DIV/0!</v>
      </c>
      <c r="R55" s="12"/>
      <c r="S55" s="12"/>
      <c r="T55" s="78"/>
      <c r="U55" s="80"/>
      <c r="V55" s="80"/>
    </row>
    <row r="56" spans="1:22" outlineLevel="1" x14ac:dyDescent="0.25">
      <c r="A56" s="376"/>
      <c r="B56" s="47">
        <f>J56/3*O56</f>
        <v>0</v>
      </c>
      <c r="C56" s="47">
        <f>IF($J$5&gt;1,IF($U$2&lt;&gt;0,IF(O56*(1+$O$5)&lt;=$U$2*0.25,O56*K56/3*(1+$O$5),$U$2*0.25*K56/3),O56*K56/3*(1+$O$5)),0)</f>
        <v>0</v>
      </c>
      <c r="D56" s="47">
        <f>IF($J$5&gt;2,IF($U$2&lt;&gt;0,IF(O56*(1+$O$5)^2&lt;=$U$2*0.25,O56*L56/3*(1+$O$5)^2,$U$2*0.25*L56/3),O56*L56/3*(1+$O$5)^2),0)</f>
        <v>0</v>
      </c>
      <c r="E56" s="47">
        <f>IF($J$5&gt;3,IF($U$2&lt;&gt;0,IF(O56*(1+$O$5)^3&lt;=$U$2*0.25,O56*M56/3*(1+$O$5)^3,$U$2*0.25*M56/3),O56*M56/3*(1+$O$5)^3),0)</f>
        <v>0</v>
      </c>
      <c r="F56" s="47">
        <f>IF($J$5&gt;4,IF($U$2&lt;&gt;0,IF(O56*(1+$O$5)^4&lt;=$U$2*0.25,O56*N56/3*(1+$O$5)^4,$U$2*0.25*N56/3),O56*N56/3*(1+$O$5)^4),0)</f>
        <v>0</v>
      </c>
      <c r="G56" s="46">
        <f>SUM(B56:F56)</f>
        <v>0</v>
      </c>
      <c r="H56" s="14"/>
      <c r="I56" s="90" t="s">
        <v>17</v>
      </c>
      <c r="J56" s="316">
        <v>0</v>
      </c>
      <c r="K56" s="316">
        <f t="shared" si="31"/>
        <v>0</v>
      </c>
      <c r="L56" s="316">
        <f t="shared" si="32"/>
        <v>0</v>
      </c>
      <c r="M56" s="316">
        <f t="shared" si="33"/>
        <v>0</v>
      </c>
      <c r="N56" s="316">
        <f t="shared" si="34"/>
        <v>0</v>
      </c>
      <c r="O56" s="147">
        <f>IF(U53="A",IF($U$2&lt;&gt;0,IF(T53/9*3&gt;($U$2/12*3),($U$2/12*3),T53/9*3),T53/9*3),0)</f>
        <v>0</v>
      </c>
      <c r="P56" s="138"/>
      <c r="Q56" s="138" t="e">
        <f>((SUM(J53:N53)-SUM(J55:N55)*9)/(CEILING($J$5*3,3)))*3</f>
        <v>#DIV/0!</v>
      </c>
      <c r="R56" s="12"/>
      <c r="S56" s="12"/>
      <c r="T56" s="1"/>
      <c r="U56" s="80"/>
      <c r="V56" s="131"/>
    </row>
    <row r="57" spans="1:22" outlineLevel="1" x14ac:dyDescent="0.25">
      <c r="B57" s="47"/>
      <c r="C57" s="47"/>
      <c r="D57" s="48"/>
      <c r="E57" s="48"/>
      <c r="F57" s="48"/>
      <c r="G57" s="46"/>
      <c r="H57" s="14"/>
      <c r="I57" s="45" t="s">
        <v>48</v>
      </c>
      <c r="J57" s="88" t="b">
        <f>IF(J59&gt;0%,IF(J59&lt;50%,IF(J59&gt;0,($U$3/2),0),$U$3),IF(J60&gt;0%,IF(J60&lt;50%,IF(J60&gt;0,($U$3/2),0),$U$3)))</f>
        <v>0</v>
      </c>
      <c r="K57" s="88" t="b">
        <f>IF(K59&gt;0%,IF(K59&lt;50%,IF(K59&gt;0,(($U$3*(1+$V$3))/2),0),($U$3*(1+$V$3))),IF(K60&gt;0%,IF(K60&lt;50%,IF(K60&gt;0,(($U$3*(1+$V$3))/2),0),($U$3*(1+$V$3)))))</f>
        <v>0</v>
      </c>
      <c r="L57" s="88" t="b">
        <f>IF(L59&gt;0%,IF(L59&lt;50%,IF(L59&gt;0,(($U$3*(1+$V$3)^2)/2),0),($U$3*(1+$V$3)^2)),IF(L60&gt;0%,IF(L60&lt;50%,IF(L60&gt;0,(($U$3*(1+$V$3)^2)/2),0),($U$3*(1+$V$3)^2))))</f>
        <v>0</v>
      </c>
      <c r="M57" s="88" t="b">
        <f>IF(M59&gt;0%,IF(M59&lt;50%,IF(M59&gt;0,(($U$3*(1+$V$3)^3)/2),0),($U$3*(1+$V$3)^3)),IF(M60&gt;0%,IF(M60&lt;50%,IF(M60&gt;0,(($U$3*(1+$V$3)^3)/2),0),($U$3*(1+$V$3)^3))))</f>
        <v>0</v>
      </c>
      <c r="N57" s="88" t="b">
        <f>IF(N59&gt;0%,IF(N59&lt;50%,IF(N59&gt;0,(($U$3*(1+$V$3)^4)/2),0),($U$3*(1+$V$3)^4)),IF(N60&gt;0%,IF(N60&lt;50%,IF(N60&gt;0,(($U$3*(1+$V$3)^4)/2),0),($U$3*(1+$V$3)^4))))</f>
        <v>0</v>
      </c>
      <c r="O57" s="41" t="s">
        <v>51</v>
      </c>
      <c r="P57" s="134"/>
      <c r="Q57" s="134"/>
      <c r="R57" s="1"/>
      <c r="S57" s="17"/>
      <c r="T57" s="1"/>
    </row>
    <row r="58" spans="1:22" outlineLevel="1" x14ac:dyDescent="0.25">
      <c r="A58" s="22" t="s">
        <v>85</v>
      </c>
      <c r="B58" s="47"/>
      <c r="C58" s="47"/>
      <c r="D58" s="48"/>
      <c r="E58" s="48"/>
      <c r="F58" s="48"/>
      <c r="G58" s="46"/>
      <c r="H58" s="14"/>
      <c r="I58" s="89" t="s">
        <v>132</v>
      </c>
      <c r="J58" s="5">
        <f>IF($U58="F",J59*12,SUM(J60*9,J61))</f>
        <v>0</v>
      </c>
      <c r="K58" s="5">
        <f t="shared" ref="K58:N58" si="35">IF($U58="F",K59*12,SUM(K60*9,K61))</f>
        <v>0</v>
      </c>
      <c r="L58" s="5">
        <f t="shared" si="35"/>
        <v>0</v>
      </c>
      <c r="M58" s="5">
        <f t="shared" si="35"/>
        <v>0</v>
      </c>
      <c r="N58" s="5">
        <f t="shared" si="35"/>
        <v>0</v>
      </c>
      <c r="O58" s="41"/>
      <c r="P58" s="134" t="s">
        <v>130</v>
      </c>
      <c r="Q58" s="134" t="s">
        <v>131</v>
      </c>
      <c r="R58" s="1"/>
      <c r="S58" s="1"/>
      <c r="T58" s="311">
        <v>0</v>
      </c>
      <c r="U58" s="312"/>
    </row>
    <row r="59" spans="1:22" outlineLevel="1" x14ac:dyDescent="0.25">
      <c r="A59" s="13" t="e">
        <f>ROUND(P59*100, 2)&amp;"% Avg. Fiscal Effort, "&amp;ROUND(Q59, 2)&amp;" Avg. Calendar Months"</f>
        <v>#DIV/0!</v>
      </c>
      <c r="B59" s="47">
        <f>O59*J59</f>
        <v>0</v>
      </c>
      <c r="C59" s="47">
        <f>IF($J$5&gt;1,IF($U$2&lt;&gt;0,IF(O59*(1+$O$5)&lt;=$U$2,O59*K59*(1+$O$5),$U$2*K59),O59*K59*(1+$O$5)),0)</f>
        <v>0</v>
      </c>
      <c r="D59" s="47">
        <f>IF($J$5&gt;2,IF($U$2&lt;&gt;0,IF(O59*(1+$O$5)^2&lt;=$U$2,O59*L59*(1+$O$5)^2,$U$2*L59),O59*L59*(1+$O$5)^2),0)</f>
        <v>0</v>
      </c>
      <c r="E59" s="47">
        <f>IF($J$5&gt;3,IF($U$2&lt;&gt;0,IF(O59*(1+$O$5)^3&lt;=$U$2,O59*M59*(1+$O$5)^3,$U$2*M59),O59*M59*(1+$O$5)^3),0)</f>
        <v>0</v>
      </c>
      <c r="F59" s="47">
        <f>IF($J$5&gt;4,IF($U$2&lt;&gt;0,IF(O59*(1+$O$5)^4&lt;=$U$2,O59*N59*(1+$O$5)^4,$U$2*N59),O59*N59*(1+$O$5)^4),0)</f>
        <v>0</v>
      </c>
      <c r="G59" s="46">
        <f>SUM(B59:F59)</f>
        <v>0</v>
      </c>
      <c r="H59" s="14"/>
      <c r="I59" s="89" t="s">
        <v>26</v>
      </c>
      <c r="J59" s="265">
        <v>0</v>
      </c>
      <c r="K59" s="265">
        <f>IF($J$5&gt;1,J59,0)</f>
        <v>0</v>
      </c>
      <c r="L59" s="265">
        <f>IF($J$5&gt;2,K59,0)</f>
        <v>0</v>
      </c>
      <c r="M59" s="265">
        <f>IF($J$5&gt;3,L59,0)</f>
        <v>0</v>
      </c>
      <c r="N59" s="265">
        <f>IF($J$5&gt;4,M59,0)</f>
        <v>0</v>
      </c>
      <c r="O59" s="128">
        <f>IF(U58="F",IF($U$2&lt;&gt;0,IF(T58&gt;$U$2,$U$2,T58),T58),0)</f>
        <v>0</v>
      </c>
      <c r="P59" s="135" t="e">
        <f>SUM(J58:N58)/(ROUNDUP($J$5,0)*12)</f>
        <v>#DIV/0!</v>
      </c>
      <c r="Q59" s="136" t="e">
        <f>(SUM(J58:N58)/(CEILING($J$5*12,12)))*12</f>
        <v>#DIV/0!</v>
      </c>
      <c r="R59" s="1"/>
      <c r="S59" s="1"/>
      <c r="T59" s="78"/>
      <c r="U59" s="80"/>
      <c r="V59" s="80"/>
    </row>
    <row r="60" spans="1:22" outlineLevel="1" x14ac:dyDescent="0.25">
      <c r="A60" s="376" t="e">
        <f>ROUND(P59*100,2)&amp;"% Annualized Effort, "&amp;ROUND(Q60,2)&amp;" Avg. Academic Months
"&amp;IF(SUM(J61:N61)&gt;0," and "&amp;Q61 &amp;" Avg. Summer Months", "")</f>
        <v>#DIV/0!</v>
      </c>
      <c r="B60" s="47">
        <f>J60*O60</f>
        <v>0</v>
      </c>
      <c r="C60" s="47">
        <f>IF($J$5&gt;1,IF($U$2&lt;&gt;0,IF(O60*(1+$O$5)&lt;=$U$2*0.75,O60*K60*(1+$O$5),$U$2*0.75*K60),O60*K60*(1+$O$5)),0)</f>
        <v>0</v>
      </c>
      <c r="D60" s="47">
        <f>IF($J$5&gt;2,IF($U$2&lt;&gt;0,IF(O60*(1+$O$5)^2&lt;=$U$2*0.75,O60*L60*(1+$O$5)^2,$U$2*0.75*L60),O60*L60*(1+$O$5)^2),0)</f>
        <v>0</v>
      </c>
      <c r="E60" s="47">
        <f>IF($J$5&gt;3,IF($U$2&lt;&gt;0,IF(O60*(1+$O$5)^3&lt;=$U$2*0.75,O60*M60*(1+$O$5)^3,$U$2*0.75*M60),O60*M60*(1+$O$5)^3),0)</f>
        <v>0</v>
      </c>
      <c r="F60" s="47">
        <f>IF($J$5&gt;4,IF($U$2&lt;&gt;0,IF(O60*(1+$O$5)^4&lt;=$U$2*0.75,O60*N60*(1+$O$5)^4,$U$2*0.75*N60),O60*N60*(1+$O$5)^4),0)</f>
        <v>0</v>
      </c>
      <c r="G60" s="46">
        <f>SUM(B60:F60)</f>
        <v>0</v>
      </c>
      <c r="H60" s="14"/>
      <c r="I60" s="89" t="s">
        <v>15</v>
      </c>
      <c r="J60" s="265">
        <v>0</v>
      </c>
      <c r="K60" s="265">
        <f t="shared" ref="K60:K61" si="36">IF($J$5&gt;1,J60,0)</f>
        <v>0</v>
      </c>
      <c r="L60" s="265">
        <f t="shared" ref="L60:L61" si="37">IF($J$5&gt;2,K60,0)</f>
        <v>0</v>
      </c>
      <c r="M60" s="265">
        <f t="shared" ref="M60:M61" si="38">IF($J$5&gt;3,L60,0)</f>
        <v>0</v>
      </c>
      <c r="N60" s="265">
        <f t="shared" ref="N60:N61" si="39">IF($J$5&gt;4,M60,0)</f>
        <v>0</v>
      </c>
      <c r="O60" s="128">
        <f>IF(U58="A",IF($U$2&lt;&gt;0,IF(T58&gt;($U$2/12*9),($U$2/12*9),T58),T58),0)</f>
        <v>0</v>
      </c>
      <c r="P60" s="143"/>
      <c r="Q60" s="137" t="e">
        <f>((SUM(J58:N58)-SUM(J61:N61))/(CEILING($J$5*9,9)))*9</f>
        <v>#DIV/0!</v>
      </c>
      <c r="R60" s="12"/>
      <c r="S60" s="12"/>
      <c r="T60" s="78"/>
      <c r="U60" s="80"/>
      <c r="V60" s="80"/>
    </row>
    <row r="61" spans="1:22" outlineLevel="1" x14ac:dyDescent="0.25">
      <c r="A61" s="376"/>
      <c r="B61" s="47">
        <f>J61/3*O61</f>
        <v>0</v>
      </c>
      <c r="C61" s="47">
        <f>IF($J$5&gt;1,IF($U$2&lt;&gt;0,IF(O61*(1+$O$5)&lt;=$U$2*0.25,O61*K61/3*(1+$O$5),$U$2*0.25*K61/3),O61*K61/3*(1+$O$5)),0)</f>
        <v>0</v>
      </c>
      <c r="D61" s="47">
        <f>IF($J$5&gt;2,IF($U$2&lt;&gt;0,IF(O61*(1+$O$5)^2&lt;=$U$2*0.25,O61*L61/3*(1+$O$5)^2,$U$2*0.25*L61/3),O61*L61/3*(1+$O$5)^2),0)</f>
        <v>0</v>
      </c>
      <c r="E61" s="47">
        <f>IF($J$5&gt;3,IF($U$2&lt;&gt;0,IF(O61*(1+$O$5)^3&lt;=$U$2*0.25,O61*M61/3*(1+$O$5)^3,$U$2*0.25*M61/3),O61*M61/3*(1+$O$5)^3),0)</f>
        <v>0</v>
      </c>
      <c r="F61" s="47">
        <f>IF($J$5&gt;4,IF($U$2&lt;&gt;0,IF(O61*(1+$O$5)^4&lt;=$U$2*0.25,O61*N61/3*(1+$O$5)^4,$U$2*0.25*N61/3),O61*N61/3*(1+$O$5)^4),0)</f>
        <v>0</v>
      </c>
      <c r="G61" s="46">
        <f>SUM(B61:F61)</f>
        <v>0</v>
      </c>
      <c r="H61" s="14"/>
      <c r="I61" s="90" t="s">
        <v>17</v>
      </c>
      <c r="J61" s="316">
        <v>0</v>
      </c>
      <c r="K61" s="316">
        <f t="shared" si="36"/>
        <v>0</v>
      </c>
      <c r="L61" s="316">
        <f t="shared" si="37"/>
        <v>0</v>
      </c>
      <c r="M61" s="316">
        <f t="shared" si="38"/>
        <v>0</v>
      </c>
      <c r="N61" s="316">
        <f t="shared" si="39"/>
        <v>0</v>
      </c>
      <c r="O61" s="147">
        <f>IF(U58="A",IF($U$2&lt;&gt;0,IF(T58/9*3&gt;($U$2/12*3),($U$2/12*3),T58/9*3),T58/9*3),0)</f>
        <v>0</v>
      </c>
      <c r="P61" s="138"/>
      <c r="Q61" s="138" t="e">
        <f>((SUM(J58:N58)-SUM(J60:N60)*9)/(CEILING($J$5*3,3)))*3</f>
        <v>#DIV/0!</v>
      </c>
      <c r="R61" s="12"/>
      <c r="S61" s="12"/>
      <c r="T61" s="1"/>
      <c r="U61" s="80"/>
      <c r="V61" s="131"/>
    </row>
    <row r="62" spans="1:22" outlineLevel="1" x14ac:dyDescent="0.25">
      <c r="B62" s="47"/>
      <c r="C62" s="47"/>
      <c r="D62" s="47"/>
      <c r="E62" s="47"/>
      <c r="F62" s="47"/>
      <c r="G62" s="46"/>
      <c r="H62" s="14"/>
      <c r="I62" s="45" t="s">
        <v>48</v>
      </c>
      <c r="J62" s="88" t="b">
        <f>IF(J64&gt;0%,IF(J64&lt;50%,IF(J64&gt;0,($U$3/2),0),$U$3),IF(J65&gt;0%,IF(J65&lt;50%,IF(J65&gt;0,($U$3/2),0),$U$3)))</f>
        <v>0</v>
      </c>
      <c r="K62" s="88" t="b">
        <f>IF(K64&gt;0%,IF(K64&lt;50%,IF(K64&gt;0,(($U$3*(1+$V$3))/2),0),($U$3*(1+$V$3))),IF(K65&gt;0%,IF(K65&lt;50%,IF(K65&gt;0,(($U$3*(1+$V$3))/2),0),($U$3*(1+$V$3)))))</f>
        <v>0</v>
      </c>
      <c r="L62" s="88" t="b">
        <f>IF(L64&gt;0%,IF(L64&lt;50%,IF(L64&gt;0,(($U$3*(1+$V$3)^2)/2),0),($U$3*(1+$V$3)^2)),IF(L65&gt;0%,IF(L65&lt;50%,IF(L65&gt;0,(($U$3*(1+$V$3)^2)/2),0),($U$3*(1+$V$3)^2))))</f>
        <v>0</v>
      </c>
      <c r="M62" s="88" t="b">
        <f>IF(M64&gt;0%,IF(M64&lt;50%,IF(M64&gt;0,(($U$3*(1+$V$3)^3)/2),0),($U$3*(1+$V$3)^3)),IF(M65&gt;0%,IF(M65&lt;50%,IF(M65&gt;0,(($U$3*(1+$V$3)^3)/2),0),($U$3*(1+$V$3)^3))))</f>
        <v>0</v>
      </c>
      <c r="N62" s="88" t="b">
        <f>IF(N64&gt;0%,IF(N64&lt;50%,IF(N64&gt;0,(($U$3*(1+$V$3)^4)/2),0),($U$3*(1+$V$3)^4)),IF(N65&gt;0%,IF(N65&lt;50%,IF(N65&gt;0,(($U$3*(1+$V$3)^4)/2),0),($U$3*(1+$V$3)^4))))</f>
        <v>0</v>
      </c>
      <c r="O62" s="41" t="s">
        <v>51</v>
      </c>
      <c r="P62" s="134"/>
      <c r="Q62" s="134"/>
      <c r="R62" s="1"/>
      <c r="S62" s="17"/>
      <c r="T62" s="1"/>
    </row>
    <row r="63" spans="1:22" outlineLevel="1" x14ac:dyDescent="0.25">
      <c r="A63" s="22" t="s">
        <v>85</v>
      </c>
      <c r="B63" s="47"/>
      <c r="C63" s="47"/>
      <c r="D63" s="47"/>
      <c r="E63" s="47"/>
      <c r="F63" s="47"/>
      <c r="G63" s="46"/>
      <c r="H63" s="14"/>
      <c r="I63" s="89" t="s">
        <v>132</v>
      </c>
      <c r="J63" s="5">
        <f>IF($U63="F",J64*12,SUM(J65*9,J66))</f>
        <v>0</v>
      </c>
      <c r="K63" s="5">
        <f t="shared" ref="K63:N63" si="40">IF($U63="F",K64*12,SUM(K65*9,K66))</f>
        <v>0</v>
      </c>
      <c r="L63" s="5">
        <f t="shared" si="40"/>
        <v>0</v>
      </c>
      <c r="M63" s="5">
        <f t="shared" si="40"/>
        <v>0</v>
      </c>
      <c r="N63" s="5">
        <f t="shared" si="40"/>
        <v>0</v>
      </c>
      <c r="O63" s="41"/>
      <c r="P63" s="134" t="s">
        <v>130</v>
      </c>
      <c r="Q63" s="134" t="s">
        <v>131</v>
      </c>
      <c r="R63" s="1"/>
      <c r="S63" s="1"/>
      <c r="T63" s="311">
        <v>0</v>
      </c>
      <c r="U63" s="312"/>
    </row>
    <row r="64" spans="1:22" outlineLevel="1" x14ac:dyDescent="0.25">
      <c r="A64" s="13" t="e">
        <f>ROUND(P64*100, 2)&amp;"% Avg. Fiscal Effort, "&amp;ROUND(Q64, 2)&amp;" Avg. Calendar Months"</f>
        <v>#DIV/0!</v>
      </c>
      <c r="B64" s="47">
        <f>O64*J64</f>
        <v>0</v>
      </c>
      <c r="C64" s="47">
        <f>IF($J$5&gt;1,IF($U$2&lt;&gt;0,IF(O64*(1+$O$5)&lt;=$U$2,O64*K64*(1+$O$5),$U$2*K64),O64*K64*(1+$O$5)),0)</f>
        <v>0</v>
      </c>
      <c r="D64" s="47">
        <f>IF($J$5&gt;2,IF($U$2&lt;&gt;0,IF(O64*(1+$O$5)^2&lt;=$U$2,O64*L64*(1+$O$5)^2,$U$2*L64),O64*L64*(1+$O$5)^2),0)</f>
        <v>0</v>
      </c>
      <c r="E64" s="47">
        <f>IF($J$5&gt;3,IF($U$2&lt;&gt;0,IF(O64*(1+$O$5)^3&lt;=$U$2,O64*M64*(1+$O$5)^3,$U$2*M64),O64*M64*(1+$O$5)^3),0)</f>
        <v>0</v>
      </c>
      <c r="F64" s="47">
        <f>IF($J$5&gt;4,IF($U$2&lt;&gt;0,IF(O64*(1+$O$5)^4&lt;=$U$2,O64*N64*(1+$O$5)^4,$U$2*N64),O64*N64*(1+$O$5)^4),0)</f>
        <v>0</v>
      </c>
      <c r="G64" s="46">
        <f>SUM(B64:F64)</f>
        <v>0</v>
      </c>
      <c r="H64" s="14"/>
      <c r="I64" s="89" t="s">
        <v>26</v>
      </c>
      <c r="J64" s="265">
        <v>0</v>
      </c>
      <c r="K64" s="265">
        <f>IF($J$5&gt;1,J64,0)</f>
        <v>0</v>
      </c>
      <c r="L64" s="265">
        <f>IF($J$5&gt;2,K64,0)</f>
        <v>0</v>
      </c>
      <c r="M64" s="265">
        <f>IF($J$5&gt;3,L64,0)</f>
        <v>0</v>
      </c>
      <c r="N64" s="265">
        <f>IF($J$5&gt;4,M64,0)</f>
        <v>0</v>
      </c>
      <c r="O64" s="128">
        <f>IF(U63="F",IF($U$2&lt;&gt;0,IF(T63&gt;$U$2,$U$2,T63),T63),0)</f>
        <v>0</v>
      </c>
      <c r="P64" s="135" t="e">
        <f>SUM(J63:N63)/(ROUNDUP($J$5,0)*12)</f>
        <v>#DIV/0!</v>
      </c>
      <c r="Q64" s="136" t="e">
        <f>(SUM(J63:N63)/(CEILING($J$5*12,12)))*12</f>
        <v>#DIV/0!</v>
      </c>
      <c r="R64" s="1"/>
      <c r="S64" s="1"/>
      <c r="T64" s="78"/>
      <c r="U64" s="80"/>
      <c r="V64" s="80"/>
    </row>
    <row r="65" spans="1:22" outlineLevel="1" x14ac:dyDescent="0.25">
      <c r="A65" s="376" t="e">
        <f>ROUND(P64*100,2)&amp;"% Annualized Effort, "&amp;ROUND(Q65,2)&amp;" Avg. Academic Months
"&amp;IF(SUM(J66:N66)&gt;0," and "&amp;Q66 &amp;" Avg. Summer Months", "")</f>
        <v>#DIV/0!</v>
      </c>
      <c r="B65" s="47">
        <f>J65*O65</f>
        <v>0</v>
      </c>
      <c r="C65" s="47">
        <f>IF($J$5&gt;1,IF($U$2&lt;&gt;0,IF(O65*(1+$O$5)&lt;=$U$2*0.75,O65*K65*(1+$O$5),$U$2*0.75*K65),O65*K65*(1+$O$5)),0)</f>
        <v>0</v>
      </c>
      <c r="D65" s="47">
        <f>IF($J$5&gt;2,IF($U$2&lt;&gt;0,IF(O65*(1+$O$5)^2&lt;=$U$2*0.75,O65*L65*(1+$O$5)^2,$U$2*0.75*L65),O65*L65*(1+$O$5)^2),0)</f>
        <v>0</v>
      </c>
      <c r="E65" s="47">
        <f>IF($J$5&gt;3,IF($U$2&lt;&gt;0,IF(O65*(1+$O$5)^3&lt;=$U$2*0.75,O65*M65*(1+$O$5)^3,$U$2*0.75*M65),O65*M65*(1+$O$5)^3),0)</f>
        <v>0</v>
      </c>
      <c r="F65" s="47">
        <f>IF($J$5&gt;4,IF($U$2&lt;&gt;0,IF(O65*(1+$O$5)^4&lt;=$U$2*0.75,O65*N65*(1+$O$5)^4,$U$2*0.75*N65),O65*N65*(1+$O$5)^4),0)</f>
        <v>0</v>
      </c>
      <c r="G65" s="46">
        <f>SUM(B65:F65)</f>
        <v>0</v>
      </c>
      <c r="H65" s="14"/>
      <c r="I65" s="89" t="s">
        <v>15</v>
      </c>
      <c r="J65" s="265">
        <v>0</v>
      </c>
      <c r="K65" s="265">
        <f t="shared" ref="K65:K66" si="41">IF($J$5&gt;1,J65,0)</f>
        <v>0</v>
      </c>
      <c r="L65" s="265">
        <f t="shared" ref="L65:L66" si="42">IF($J$5&gt;2,K65,0)</f>
        <v>0</v>
      </c>
      <c r="M65" s="265">
        <f t="shared" ref="M65:M66" si="43">IF($J$5&gt;3,L65,0)</f>
        <v>0</v>
      </c>
      <c r="N65" s="265">
        <f t="shared" ref="N65:N66" si="44">IF($J$5&gt;4,M65,0)</f>
        <v>0</v>
      </c>
      <c r="O65" s="128">
        <f>IF(U63="A",IF($U$2&lt;&gt;0,IF(T63&gt;($U$2/12*9),($U$2/12*9),T63),T63),0)</f>
        <v>0</v>
      </c>
      <c r="P65" s="143"/>
      <c r="Q65" s="137" t="e">
        <f>((SUM(J63:N63)-SUM(J66:N66))/(CEILING($J$5*9,9)))*9</f>
        <v>#DIV/0!</v>
      </c>
      <c r="R65" s="12"/>
      <c r="S65" s="12"/>
      <c r="T65" s="78"/>
      <c r="U65" s="80"/>
      <c r="V65" s="80"/>
    </row>
    <row r="66" spans="1:22" outlineLevel="1" x14ac:dyDescent="0.25">
      <c r="A66" s="376"/>
      <c r="B66" s="47">
        <f>J66/3*O66</f>
        <v>0</v>
      </c>
      <c r="C66" s="47">
        <f>IF($J$5&gt;1,IF($U$2&lt;&gt;0,IF(O66*(1+$O$5)&lt;=$U$2*0.25,O66*K66/3*(1+$O$5),$U$2*0.25*K66/3),O66*K66/3*(1+$O$5)),0)</f>
        <v>0</v>
      </c>
      <c r="D66" s="47">
        <f>IF($J$5&gt;2,IF($U$2&lt;&gt;0,IF(O66*(1+$O$5)^2&lt;=$U$2*0.25,O66*L66/3*(1+$O$5)^2,$U$2*0.25*L66/3),O66*L66/3*(1+$O$5)^2),0)</f>
        <v>0</v>
      </c>
      <c r="E66" s="47">
        <f>IF($J$5&gt;3,IF($U$2&lt;&gt;0,IF(O66*(1+$O$5)^3&lt;=$U$2*0.25,O66*M66/3*(1+$O$5)^3,$U$2*0.25*M66/3),O66*M66/3*(1+$O$5)^3),0)</f>
        <v>0</v>
      </c>
      <c r="F66" s="47">
        <f>IF($J$5&gt;4,IF($U$2&lt;&gt;0,IF(O66*(1+$O$5)^4&lt;=$U$2*0.25,O66*N66/3*(1+$O$5)^4,$U$2*0.25*N66/3),O66*N66/3*(1+$O$5)^4),0)</f>
        <v>0</v>
      </c>
      <c r="G66" s="46">
        <f>SUM(B66:F66)</f>
        <v>0</v>
      </c>
      <c r="H66" s="14"/>
      <c r="I66" s="89" t="s">
        <v>17</v>
      </c>
      <c r="J66" s="316">
        <v>0</v>
      </c>
      <c r="K66" s="316">
        <f t="shared" si="41"/>
        <v>0</v>
      </c>
      <c r="L66" s="316">
        <f t="shared" si="42"/>
        <v>0</v>
      </c>
      <c r="M66" s="316">
        <f t="shared" si="43"/>
        <v>0</v>
      </c>
      <c r="N66" s="316">
        <f t="shared" si="44"/>
        <v>0</v>
      </c>
      <c r="O66" s="147">
        <f>IF(U63="A",IF($U$2&lt;&gt;0,IF(T63/9*3&gt;($U$2/12*3),($U$2/12*3),T63/9*3),T63/9*3),0)</f>
        <v>0</v>
      </c>
      <c r="P66" s="138"/>
      <c r="Q66" s="138" t="e">
        <f>((SUM(J63:N63)-SUM(J65:N65)*9)/(CEILING($J$5*3,3)))*3</f>
        <v>#DIV/0!</v>
      </c>
      <c r="R66" s="12"/>
      <c r="S66" s="12"/>
      <c r="T66" s="1"/>
      <c r="U66" s="80"/>
      <c r="V66" s="131"/>
    </row>
    <row r="67" spans="1:22" outlineLevel="1" x14ac:dyDescent="0.25">
      <c r="A67" s="13"/>
      <c r="B67" s="47"/>
      <c r="C67" s="47"/>
      <c r="D67" s="48"/>
      <c r="E67" s="48"/>
      <c r="F67" s="48"/>
      <c r="G67" s="46"/>
      <c r="H67" s="14"/>
      <c r="I67" s="34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72" t="s">
        <v>50</v>
      </c>
      <c r="P67" s="135"/>
      <c r="Q67" s="135"/>
      <c r="R67" s="1"/>
      <c r="S67" s="1"/>
      <c r="T67" s="1"/>
    </row>
    <row r="68" spans="1:22" outlineLevel="1" x14ac:dyDescent="0.25">
      <c r="A68" s="22" t="str">
        <f>"TBN, Student Worker ("&amp;J68&amp;")"</f>
        <v>TBN, Student Worker (0)</v>
      </c>
      <c r="B68" s="47"/>
      <c r="C68" s="47"/>
      <c r="D68" s="48"/>
      <c r="E68" s="48"/>
      <c r="F68" s="48"/>
      <c r="G68" s="46"/>
      <c r="H68" s="14"/>
      <c r="I68" s="4" t="s">
        <v>49</v>
      </c>
      <c r="J68" s="276">
        <v>0</v>
      </c>
      <c r="K68" s="117"/>
      <c r="L68" s="117"/>
      <c r="M68" s="117"/>
      <c r="N68" s="117"/>
      <c r="O68" s="318">
        <v>0</v>
      </c>
      <c r="P68" s="135"/>
      <c r="Q68" s="135"/>
      <c r="R68" s="1"/>
      <c r="S68" s="1"/>
      <c r="T68" s="1"/>
    </row>
    <row r="69" spans="1:22" outlineLevel="1" x14ac:dyDescent="0.25">
      <c r="A69" s="13" t="str">
        <f>J69&amp;" hours per student @ $"&amp;O68&amp;"/hour"</f>
        <v xml:space="preserve"> hours per student @ $0/hour</v>
      </c>
      <c r="B69" s="47">
        <f>J68*J69*O68</f>
        <v>0</v>
      </c>
      <c r="C69" s="47">
        <f>IF($J$5&gt;1,$J$68*K69*$O$68*(1+$O$5),0)</f>
        <v>0</v>
      </c>
      <c r="D69" s="47">
        <f>IF($J$5&gt;2,$J$68*L69*$O$68*(1+$O$5)^2,0)</f>
        <v>0</v>
      </c>
      <c r="E69" s="47">
        <f>IF($J$5&gt;3,$J$68*M69*$O$68*(1+$O$5)^3,0)</f>
        <v>0</v>
      </c>
      <c r="F69" s="47">
        <f>IF($J$5&gt;4,$J$68*N69*$O$68*(1+$O$5)^4,0)</f>
        <v>0</v>
      </c>
      <c r="G69" s="46">
        <f>SUM(B69:F69)</f>
        <v>0</v>
      </c>
      <c r="H69" s="14"/>
      <c r="I69" s="20" t="s">
        <v>56</v>
      </c>
      <c r="J69" s="317"/>
      <c r="K69" s="316">
        <f t="shared" ref="K69" si="45">IF($J$5&gt;1,J69,0)</f>
        <v>0</v>
      </c>
      <c r="L69" s="317">
        <f t="shared" ref="L69" si="46">IF($J$5&gt;2,K69,0)</f>
        <v>0</v>
      </c>
      <c r="M69" s="317">
        <f t="shared" ref="M69" si="47">IF($J$5&gt;3,L69,0)</f>
        <v>0</v>
      </c>
      <c r="N69" s="317">
        <f t="shared" ref="N69" si="48">IF($J$5&gt;4,M69,0)</f>
        <v>0</v>
      </c>
      <c r="O69" s="21"/>
      <c r="P69" s="135"/>
      <c r="Q69" s="135"/>
      <c r="R69" s="1"/>
      <c r="S69" s="1"/>
      <c r="T69" s="1"/>
    </row>
    <row r="70" spans="1:22" outlineLevel="1" x14ac:dyDescent="0.25">
      <c r="A70" s="13"/>
      <c r="B70" s="47"/>
      <c r="C70" s="47"/>
      <c r="D70" s="47"/>
      <c r="E70" s="47"/>
      <c r="F70" s="47"/>
      <c r="G70" s="46"/>
      <c r="H70" s="14"/>
      <c r="I70" s="4"/>
      <c r="J70" s="117"/>
      <c r="K70" s="117"/>
      <c r="L70" s="117"/>
      <c r="M70" s="117"/>
      <c r="N70" s="117"/>
      <c r="O70" s="43" t="s">
        <v>50</v>
      </c>
      <c r="P70" s="135"/>
      <c r="Q70" s="135"/>
      <c r="R70" s="1"/>
      <c r="S70" s="1"/>
      <c r="T70" s="1"/>
    </row>
    <row r="71" spans="1:22" outlineLevel="1" x14ac:dyDescent="0.25">
      <c r="A71" s="22" t="str">
        <f>"TBN, Student Worker ("&amp;J71&amp;")"</f>
        <v>TBN, Student Worker (0)</v>
      </c>
      <c r="B71" s="47"/>
      <c r="C71" s="47"/>
      <c r="D71" s="48"/>
      <c r="E71" s="48"/>
      <c r="F71" s="48"/>
      <c r="G71" s="46"/>
      <c r="H71" s="14"/>
      <c r="I71" s="4" t="s">
        <v>49</v>
      </c>
      <c r="J71" s="276">
        <v>0</v>
      </c>
      <c r="K71" s="117"/>
      <c r="L71" s="117"/>
      <c r="M71" s="117"/>
      <c r="N71" s="117"/>
      <c r="O71" s="318">
        <v>0</v>
      </c>
      <c r="P71" s="135"/>
      <c r="Q71" s="135"/>
      <c r="R71" s="1"/>
      <c r="S71" s="1"/>
      <c r="T71" s="1"/>
    </row>
    <row r="72" spans="1:22" outlineLevel="1" x14ac:dyDescent="0.25">
      <c r="A72" s="13" t="str">
        <f>J72&amp;" hours per student @ $"&amp;O71&amp;"/hour"</f>
        <v xml:space="preserve"> hours per student @ $0/hour</v>
      </c>
      <c r="B72" s="47">
        <f>J71*J72*O71</f>
        <v>0</v>
      </c>
      <c r="C72" s="47">
        <f>IF($J$5&gt;1,$J$71*K72*$O$71*(1+$O$5),0)</f>
        <v>0</v>
      </c>
      <c r="D72" s="47">
        <f>IF($J$5&gt;2,$J$71*L72*$O$71*(1+$O$5)^2,0)</f>
        <v>0</v>
      </c>
      <c r="E72" s="47">
        <f>IF($J$5&gt;3,$J$71*M72*$O$71*(1+$O$5)^3,0)</f>
        <v>0</v>
      </c>
      <c r="F72" s="47">
        <f>IF($J$5&gt;4,$J$71*N72*$O$71*(1+$O$5)^4,0)</f>
        <v>0</v>
      </c>
      <c r="G72" s="46">
        <f>SUM(B72:F72)</f>
        <v>0</v>
      </c>
      <c r="H72" s="14"/>
      <c r="I72" s="20" t="s">
        <v>56</v>
      </c>
      <c r="J72" s="317"/>
      <c r="K72" s="316">
        <f t="shared" ref="K72" si="49">IF($J$5&gt;1,J72,0)</f>
        <v>0</v>
      </c>
      <c r="L72" s="317">
        <f t="shared" ref="L72" si="50">IF($J$5&gt;2,K72,0)</f>
        <v>0</v>
      </c>
      <c r="M72" s="317">
        <f t="shared" ref="M72" si="51">IF($J$5&gt;3,L72,0)</f>
        <v>0</v>
      </c>
      <c r="N72" s="317">
        <f t="shared" ref="N72" si="52">IF($J$5&gt;4,M72,0)</f>
        <v>0</v>
      </c>
      <c r="O72" s="21"/>
      <c r="P72" s="135"/>
      <c r="Q72" s="135"/>
      <c r="R72" s="1"/>
      <c r="S72" s="1"/>
      <c r="T72" s="1"/>
    </row>
    <row r="73" spans="1:22" outlineLevel="1" x14ac:dyDescent="0.25">
      <c r="A73" s="13"/>
      <c r="B73" s="47"/>
      <c r="C73" s="47"/>
      <c r="D73" s="47"/>
      <c r="E73" s="47"/>
      <c r="F73" s="47"/>
      <c r="G73" s="46"/>
      <c r="H73" s="14"/>
      <c r="I73" s="4"/>
      <c r="J73" s="117"/>
      <c r="K73" s="117"/>
      <c r="L73" s="117"/>
      <c r="M73" s="117"/>
      <c r="N73" s="117"/>
      <c r="O73" s="43" t="s">
        <v>50</v>
      </c>
      <c r="P73" s="135"/>
      <c r="Q73" s="135"/>
      <c r="R73" s="1"/>
      <c r="S73" s="1"/>
      <c r="T73" s="1"/>
    </row>
    <row r="74" spans="1:22" outlineLevel="1" x14ac:dyDescent="0.25">
      <c r="A74" s="22" t="str">
        <f>"TBN, Student Worker ("&amp;J74&amp;")"</f>
        <v>TBN, Student Worker (0)</v>
      </c>
      <c r="B74" s="47"/>
      <c r="C74" s="47"/>
      <c r="D74" s="48"/>
      <c r="E74" s="48"/>
      <c r="F74" s="48"/>
      <c r="G74" s="46"/>
      <c r="H74" s="14"/>
      <c r="I74" s="4" t="s">
        <v>49</v>
      </c>
      <c r="J74" s="276">
        <v>0</v>
      </c>
      <c r="K74" s="117"/>
      <c r="L74" s="117"/>
      <c r="M74" s="117"/>
      <c r="N74" s="117"/>
      <c r="O74" s="318">
        <v>0</v>
      </c>
      <c r="P74" s="135"/>
      <c r="Q74" s="135"/>
      <c r="R74" s="1"/>
      <c r="S74" s="1"/>
      <c r="T74" s="1"/>
    </row>
    <row r="75" spans="1:22" outlineLevel="1" x14ac:dyDescent="0.25">
      <c r="A75" s="13" t="str">
        <f>J75&amp;" hours per student @ $"&amp;O74&amp;"/hour"</f>
        <v xml:space="preserve"> hours per student @ $0/hour</v>
      </c>
      <c r="B75" s="47">
        <f>J74*J75*O74</f>
        <v>0</v>
      </c>
      <c r="C75" s="47">
        <f>IF($J$5&gt;1,$J$74*K75*$O$74*(1+$O$5),0)</f>
        <v>0</v>
      </c>
      <c r="D75" s="47">
        <f>IF($J$5&gt;2,$J$74*L75*$O$74*(1+$O$5)^2,0)</f>
        <v>0</v>
      </c>
      <c r="E75" s="47">
        <f>IF($J$5&gt;3,$J$74*M75*$O$74*(1+$O$5)^3,0)</f>
        <v>0</v>
      </c>
      <c r="F75" s="47">
        <f>IF($J$5&gt;4,$J$74*N75*$O$74*(1+$O$5)^4,0)</f>
        <v>0</v>
      </c>
      <c r="G75" s="46">
        <f>SUM(B75:F75)</f>
        <v>0</v>
      </c>
      <c r="H75" s="14"/>
      <c r="I75" s="20" t="s">
        <v>56</v>
      </c>
      <c r="J75" s="317"/>
      <c r="K75" s="316">
        <f t="shared" ref="K75" si="53">IF($J$5&gt;1,J75,0)</f>
        <v>0</v>
      </c>
      <c r="L75" s="317">
        <f t="shared" ref="L75" si="54">IF($J$5&gt;2,K75,0)</f>
        <v>0</v>
      </c>
      <c r="M75" s="317">
        <f t="shared" ref="M75" si="55">IF($J$5&gt;3,L75,0)</f>
        <v>0</v>
      </c>
      <c r="N75" s="317">
        <f t="shared" ref="N75" si="56">IF($J$5&gt;4,M75,0)</f>
        <v>0</v>
      </c>
      <c r="O75" s="21"/>
      <c r="P75" s="135"/>
      <c r="Q75" s="135"/>
      <c r="R75" s="1"/>
      <c r="S75" s="1"/>
      <c r="T75" s="1"/>
    </row>
    <row r="76" spans="1:22" outlineLevel="1" x14ac:dyDescent="0.25">
      <c r="A76" s="96" t="s">
        <v>0</v>
      </c>
      <c r="B76" s="53">
        <f>ROUND(SUM(B8:B75),0)</f>
        <v>0</v>
      </c>
      <c r="C76" s="53">
        <f t="shared" ref="C76:F76" si="57">ROUND(SUM(C8:C75),0)</f>
        <v>0</v>
      </c>
      <c r="D76" s="53">
        <f t="shared" si="57"/>
        <v>0</v>
      </c>
      <c r="E76" s="53">
        <f t="shared" si="57"/>
        <v>0</v>
      </c>
      <c r="F76" s="53">
        <f t="shared" si="57"/>
        <v>0</v>
      </c>
      <c r="G76" s="53">
        <f>SUM(B76:F76)</f>
        <v>0</v>
      </c>
      <c r="H76" s="24"/>
      <c r="R76" s="1"/>
      <c r="S76" s="1"/>
      <c r="T76" s="1"/>
      <c r="V76" s="80"/>
    </row>
    <row r="77" spans="1:22" outlineLevel="1" x14ac:dyDescent="0.25">
      <c r="B77" s="52"/>
      <c r="C77" s="52"/>
      <c r="D77" s="48"/>
      <c r="E77" s="48"/>
      <c r="F77" s="48"/>
      <c r="G77" s="46"/>
      <c r="R77" s="1"/>
      <c r="S77" s="1"/>
      <c r="T77" s="1"/>
      <c r="V77" s="80"/>
    </row>
    <row r="78" spans="1:22" outlineLevel="1" x14ac:dyDescent="0.25">
      <c r="A78" s="98" t="s">
        <v>4</v>
      </c>
      <c r="B78" s="52"/>
      <c r="C78" s="52"/>
      <c r="D78" s="48"/>
      <c r="E78" s="48"/>
      <c r="F78" s="48"/>
      <c r="G78" s="46"/>
      <c r="R78" s="1"/>
      <c r="S78" s="1"/>
      <c r="T78" s="1"/>
      <c r="V78" s="80"/>
    </row>
    <row r="79" spans="1:22" outlineLevel="1" x14ac:dyDescent="0.25">
      <c r="A79" s="87" t="str">
        <f>I79&amp;ROUND(J79*100,2)&amp;"%"</f>
        <v>Employees @ 0%</v>
      </c>
      <c r="B79" s="319">
        <f>SUM(B8:B40)*$J$79</f>
        <v>0</v>
      </c>
      <c r="C79" s="319">
        <f>SUM(C8:C40)*$J$79</f>
        <v>0</v>
      </c>
      <c r="D79" s="319">
        <f>SUM(D8:D40)*$J$79</f>
        <v>0</v>
      </c>
      <c r="E79" s="319">
        <f>SUM(E8:E40)*$J$79</f>
        <v>0</v>
      </c>
      <c r="F79" s="319">
        <f>SUM(F8:F40)*$J$79</f>
        <v>0</v>
      </c>
      <c r="G79" s="54">
        <f>SUM(B79:F79)</f>
        <v>0</v>
      </c>
      <c r="H79" s="3"/>
      <c r="I79" s="278" t="s">
        <v>152</v>
      </c>
      <c r="J79" s="279">
        <v>0</v>
      </c>
      <c r="K79" s="142"/>
      <c r="L79" s="142"/>
      <c r="M79" s="142"/>
      <c r="N79" s="142"/>
      <c r="R79" s="1"/>
      <c r="S79" s="1"/>
      <c r="T79" s="1"/>
      <c r="V79" s="80"/>
    </row>
    <row r="80" spans="1:22" outlineLevel="1" x14ac:dyDescent="0.25">
      <c r="A80" s="87" t="str">
        <f t="shared" ref="A80:A82" si="58">I80&amp;ROUND(J80*100,2)&amp;"%"</f>
        <v>Post-docs @ 0%</v>
      </c>
      <c r="B80" s="319">
        <f>SUM(B45:B51)*$J$80</f>
        <v>0</v>
      </c>
      <c r="C80" s="319">
        <f>SUM(C45:C51)*$J$80</f>
        <v>0</v>
      </c>
      <c r="D80" s="319">
        <f>SUM(D45:D51)*$J$80</f>
        <v>0</v>
      </c>
      <c r="E80" s="319">
        <f>SUM(E45:E51)*$J$80</f>
        <v>0</v>
      </c>
      <c r="F80" s="319">
        <f>SUM(F45:F51)*$J$80</f>
        <v>0</v>
      </c>
      <c r="G80" s="54">
        <f t="shared" ref="G80:G82" si="59">SUM(B80:F80)</f>
        <v>0</v>
      </c>
      <c r="H80" s="3"/>
      <c r="I80" s="278" t="s">
        <v>153</v>
      </c>
      <c r="J80" s="279">
        <v>0</v>
      </c>
      <c r="K80" s="142"/>
      <c r="L80" s="142"/>
      <c r="M80" s="142"/>
      <c r="N80" s="142"/>
      <c r="R80" s="1"/>
      <c r="S80" s="1"/>
      <c r="T80" s="1"/>
      <c r="V80" s="80"/>
    </row>
    <row r="81" spans="1:22" outlineLevel="1" x14ac:dyDescent="0.25">
      <c r="A81" s="87" t="str">
        <f t="shared" si="58"/>
        <v>Graduate Assistants @ 0%</v>
      </c>
      <c r="B81" s="319">
        <f>SUM(B54:B66)*$J$81</f>
        <v>0</v>
      </c>
      <c r="C81" s="319">
        <f>SUM(C54:C66)*$J$81</f>
        <v>0</v>
      </c>
      <c r="D81" s="319">
        <f>SUM(D54:D66)*$J$81</f>
        <v>0</v>
      </c>
      <c r="E81" s="319">
        <f>SUM(E54:E66)*$J$81</f>
        <v>0</v>
      </c>
      <c r="F81" s="319">
        <f>SUM(F54:F66)*$J$81</f>
        <v>0</v>
      </c>
      <c r="G81" s="54">
        <f t="shared" si="59"/>
        <v>0</v>
      </c>
      <c r="H81" s="3"/>
      <c r="I81" s="278" t="s">
        <v>148</v>
      </c>
      <c r="J81" s="279">
        <v>0</v>
      </c>
      <c r="K81" s="142"/>
      <c r="L81" s="142"/>
      <c r="M81" s="142"/>
      <c r="N81" s="142"/>
      <c r="R81" s="1"/>
      <c r="S81" s="1"/>
      <c r="T81" s="1"/>
      <c r="V81" s="80"/>
    </row>
    <row r="82" spans="1:22" outlineLevel="1" x14ac:dyDescent="0.25">
      <c r="A82" s="87" t="str">
        <f t="shared" si="58"/>
        <v>Student Workers @0%</v>
      </c>
      <c r="B82" s="319">
        <f>SUM(B69:B75)*$J$82</f>
        <v>0</v>
      </c>
      <c r="C82" s="319">
        <f t="shared" ref="C82:F82" si="60">SUM(C69:C75)*$J$82</f>
        <v>0</v>
      </c>
      <c r="D82" s="319">
        <f t="shared" si="60"/>
        <v>0</v>
      </c>
      <c r="E82" s="319">
        <f t="shared" si="60"/>
        <v>0</v>
      </c>
      <c r="F82" s="319">
        <f t="shared" si="60"/>
        <v>0</v>
      </c>
      <c r="G82" s="54">
        <f t="shared" si="59"/>
        <v>0</v>
      </c>
      <c r="H82" s="3"/>
      <c r="I82" s="278" t="s">
        <v>145</v>
      </c>
      <c r="J82" s="279">
        <v>0</v>
      </c>
      <c r="K82" s="142"/>
      <c r="L82" s="142"/>
      <c r="M82" s="142"/>
      <c r="N82" s="142"/>
      <c r="R82" s="1"/>
      <c r="S82" s="1"/>
      <c r="T82" s="1"/>
      <c r="V82" s="80"/>
    </row>
    <row r="83" spans="1:22" outlineLevel="1" x14ac:dyDescent="0.25">
      <c r="A83" s="96" t="s">
        <v>1</v>
      </c>
      <c r="B83" s="55">
        <f>ROUND(SUM(B79:B82),0)</f>
        <v>0</v>
      </c>
      <c r="C83" s="55">
        <f t="shared" ref="C83:F83" si="61">ROUND(SUM(C79:C82),0)</f>
        <v>0</v>
      </c>
      <c r="D83" s="55">
        <f t="shared" si="61"/>
        <v>0</v>
      </c>
      <c r="E83" s="55">
        <f t="shared" si="61"/>
        <v>0</v>
      </c>
      <c r="F83" s="55">
        <f t="shared" si="61"/>
        <v>0</v>
      </c>
      <c r="G83" s="56">
        <f t="shared" ref="G83" si="62">SUM(B83:F83)</f>
        <v>0</v>
      </c>
      <c r="H83" s="3"/>
      <c r="R83" s="1"/>
      <c r="S83" s="1"/>
      <c r="T83" s="1"/>
      <c r="V83" s="80"/>
    </row>
    <row r="84" spans="1:22" outlineLevel="1" x14ac:dyDescent="0.25">
      <c r="B84" s="48"/>
      <c r="C84" s="48"/>
      <c r="D84" s="48"/>
      <c r="E84" s="48"/>
      <c r="F84" s="48"/>
      <c r="G84" s="46"/>
      <c r="R84" s="1"/>
      <c r="S84" s="1"/>
      <c r="T84" s="1"/>
      <c r="V84" s="80"/>
    </row>
    <row r="85" spans="1:22" outlineLevel="1" x14ac:dyDescent="0.25">
      <c r="A85" s="97" t="s">
        <v>95</v>
      </c>
      <c r="B85" s="57">
        <f>B76+B83</f>
        <v>0</v>
      </c>
      <c r="C85" s="57">
        <f>C76+C83</f>
        <v>0</v>
      </c>
      <c r="D85" s="57">
        <f>D76+D83</f>
        <v>0</v>
      </c>
      <c r="E85" s="57">
        <f>E76+E83</f>
        <v>0</v>
      </c>
      <c r="F85" s="57">
        <f>F76+F83</f>
        <v>0</v>
      </c>
      <c r="G85" s="58">
        <f>SUM(B85:F85)</f>
        <v>0</v>
      </c>
      <c r="H85" s="3"/>
      <c r="R85" s="1"/>
      <c r="S85" s="1"/>
      <c r="T85" s="1"/>
      <c r="V85" s="80"/>
    </row>
    <row r="86" spans="1:22" outlineLevel="1" x14ac:dyDescent="0.25">
      <c r="A86" s="2"/>
      <c r="B86" s="59"/>
      <c r="C86" s="59"/>
      <c r="D86" s="59"/>
      <c r="E86" s="59"/>
      <c r="F86" s="59"/>
      <c r="G86" s="60"/>
      <c r="H86" s="25"/>
      <c r="R86" s="1"/>
      <c r="S86" s="1"/>
      <c r="T86" s="1"/>
      <c r="V86" s="80"/>
    </row>
    <row r="87" spans="1:22" outlineLevel="1" x14ac:dyDescent="0.25">
      <c r="A87" s="95" t="s">
        <v>39</v>
      </c>
      <c r="B87" s="48"/>
      <c r="C87" s="48"/>
      <c r="D87" s="48"/>
      <c r="E87" s="48"/>
      <c r="F87" s="48"/>
      <c r="G87" s="46"/>
      <c r="R87" s="1"/>
      <c r="S87" s="1"/>
      <c r="T87" s="1"/>
      <c r="V87" s="80"/>
    </row>
    <row r="88" spans="1:22" outlineLevel="1" x14ac:dyDescent="0.25">
      <c r="A88" s="280" t="s">
        <v>41</v>
      </c>
      <c r="B88" s="281">
        <v>0</v>
      </c>
      <c r="C88" s="281">
        <v>0</v>
      </c>
      <c r="D88" s="281">
        <v>0</v>
      </c>
      <c r="E88" s="281">
        <v>0</v>
      </c>
      <c r="F88" s="281">
        <v>0</v>
      </c>
      <c r="G88" s="46">
        <f>SUM(B88:F88)</f>
        <v>0</v>
      </c>
      <c r="H88" s="14"/>
      <c r="R88" s="1"/>
      <c r="S88" s="1"/>
      <c r="T88" s="1"/>
      <c r="V88" s="80"/>
    </row>
    <row r="89" spans="1:22" outlineLevel="1" x14ac:dyDescent="0.25">
      <c r="A89" s="280" t="s">
        <v>42</v>
      </c>
      <c r="B89" s="281">
        <v>0</v>
      </c>
      <c r="C89" s="281">
        <v>0</v>
      </c>
      <c r="D89" s="281">
        <v>0</v>
      </c>
      <c r="E89" s="281">
        <v>0</v>
      </c>
      <c r="F89" s="281">
        <v>0</v>
      </c>
      <c r="G89" s="46">
        <f>SUM(B89:F89)</f>
        <v>0</v>
      </c>
      <c r="H89" s="14"/>
      <c r="R89" s="1"/>
      <c r="S89" s="1"/>
      <c r="T89" s="1"/>
      <c r="V89" s="80"/>
    </row>
    <row r="90" spans="1:22" outlineLevel="1" x14ac:dyDescent="0.25">
      <c r="A90" s="280" t="s">
        <v>43</v>
      </c>
      <c r="B90" s="281">
        <v>0</v>
      </c>
      <c r="C90" s="281">
        <v>0</v>
      </c>
      <c r="D90" s="281">
        <v>0</v>
      </c>
      <c r="E90" s="281">
        <v>0</v>
      </c>
      <c r="F90" s="281">
        <v>0</v>
      </c>
      <c r="G90" s="46">
        <f>SUM(B90:F90)</f>
        <v>0</v>
      </c>
      <c r="H90" s="14"/>
      <c r="R90" s="1"/>
      <c r="S90" s="1"/>
      <c r="T90" s="1"/>
      <c r="V90" s="80"/>
    </row>
    <row r="91" spans="1:22" outlineLevel="1" x14ac:dyDescent="0.25">
      <c r="A91" s="96" t="s">
        <v>40</v>
      </c>
      <c r="B91" s="53">
        <f>ROUND(SUM(B88:B90),0)</f>
        <v>0</v>
      </c>
      <c r="C91" s="53">
        <f t="shared" ref="C91:F91" si="63">ROUND(SUM(C88:C90),0)</f>
        <v>0</v>
      </c>
      <c r="D91" s="53">
        <f t="shared" si="63"/>
        <v>0</v>
      </c>
      <c r="E91" s="53">
        <f t="shared" si="63"/>
        <v>0</v>
      </c>
      <c r="F91" s="53">
        <f t="shared" si="63"/>
        <v>0</v>
      </c>
      <c r="G91" s="53">
        <f>SUM(B91:F91)</f>
        <v>0</v>
      </c>
      <c r="H91" s="24"/>
      <c r="R91" s="1"/>
      <c r="S91" s="1"/>
      <c r="T91" s="1"/>
      <c r="V91" s="80"/>
    </row>
    <row r="92" spans="1:22" outlineLevel="1" x14ac:dyDescent="0.25">
      <c r="B92" s="52"/>
      <c r="C92" s="52"/>
      <c r="D92" s="48"/>
      <c r="E92" s="48"/>
      <c r="F92" s="48"/>
      <c r="G92" s="46"/>
      <c r="R92" s="1"/>
      <c r="S92" s="1"/>
      <c r="T92" s="1"/>
      <c r="V92" s="80"/>
    </row>
    <row r="93" spans="1:22" outlineLevel="1" x14ac:dyDescent="0.25">
      <c r="A93" s="98" t="s">
        <v>11</v>
      </c>
      <c r="B93" s="60"/>
      <c r="C93" s="60"/>
      <c r="D93" s="60"/>
      <c r="E93" s="60"/>
      <c r="F93" s="60"/>
      <c r="G93" s="60"/>
      <c r="H93" s="25"/>
      <c r="R93" s="1"/>
      <c r="S93" s="1"/>
      <c r="T93" s="1"/>
      <c r="V93" s="80"/>
    </row>
    <row r="94" spans="1:22" outlineLevel="1" x14ac:dyDescent="0.25">
      <c r="A94" s="13" t="s">
        <v>98</v>
      </c>
      <c r="B94" s="320">
        <v>0</v>
      </c>
      <c r="C94" s="320">
        <v>0</v>
      </c>
      <c r="D94" s="320">
        <v>0</v>
      </c>
      <c r="E94" s="320">
        <v>0</v>
      </c>
      <c r="F94" s="320">
        <v>0</v>
      </c>
      <c r="G94" s="60">
        <f>SUM(B94:F94)</f>
        <v>0</v>
      </c>
      <c r="H94" s="25"/>
      <c r="R94" s="1"/>
      <c r="S94" s="1"/>
      <c r="T94" s="1"/>
      <c r="V94" s="80"/>
    </row>
    <row r="95" spans="1:22" outlineLevel="1" x14ac:dyDescent="0.25">
      <c r="A95" s="13" t="s">
        <v>99</v>
      </c>
      <c r="B95" s="320">
        <v>0</v>
      </c>
      <c r="C95" s="320">
        <v>0</v>
      </c>
      <c r="D95" s="320">
        <v>0</v>
      </c>
      <c r="E95" s="320">
        <v>0</v>
      </c>
      <c r="F95" s="320">
        <v>0</v>
      </c>
      <c r="G95" s="60">
        <f>SUM(B95:F95)</f>
        <v>0</v>
      </c>
      <c r="H95" s="25"/>
      <c r="R95" s="1"/>
      <c r="S95" s="1"/>
      <c r="T95" s="1"/>
      <c r="V95" s="80"/>
    </row>
    <row r="96" spans="1:22" outlineLevel="1" x14ac:dyDescent="0.25">
      <c r="A96" s="96" t="s">
        <v>12</v>
      </c>
      <c r="B96" s="62">
        <f>ROUND(SUM(B94:B95),0)</f>
        <v>0</v>
      </c>
      <c r="C96" s="62">
        <f t="shared" ref="C96:F96" si="64">ROUND(SUM(C94:C95),0)</f>
        <v>0</v>
      </c>
      <c r="D96" s="62">
        <f t="shared" si="64"/>
        <v>0</v>
      </c>
      <c r="E96" s="62">
        <f t="shared" si="64"/>
        <v>0</v>
      </c>
      <c r="F96" s="62">
        <f t="shared" si="64"/>
        <v>0</v>
      </c>
      <c r="G96" s="53">
        <f>SUM(B96:F96)</f>
        <v>0</v>
      </c>
      <c r="H96" s="24"/>
      <c r="R96" s="1"/>
      <c r="S96" s="1"/>
      <c r="T96" s="1"/>
      <c r="V96" s="80"/>
    </row>
    <row r="97" spans="1:22" outlineLevel="1" x14ac:dyDescent="0.25">
      <c r="B97" s="48"/>
      <c r="C97" s="48"/>
      <c r="D97" s="48"/>
      <c r="E97" s="48"/>
      <c r="F97" s="48"/>
      <c r="G97" s="46"/>
      <c r="R97" s="1"/>
      <c r="S97" s="1"/>
      <c r="T97" s="1"/>
      <c r="V97" s="80"/>
    </row>
    <row r="98" spans="1:22" outlineLevel="1" x14ac:dyDescent="0.25">
      <c r="A98" s="2" t="s">
        <v>44</v>
      </c>
      <c r="B98" s="48"/>
      <c r="C98" s="48"/>
      <c r="D98" s="48"/>
      <c r="E98" s="48"/>
      <c r="F98" s="48"/>
      <c r="G98" s="46"/>
      <c r="R98" s="1"/>
      <c r="S98" s="1"/>
      <c r="T98" s="1"/>
      <c r="V98" s="80"/>
    </row>
    <row r="99" spans="1:22" outlineLevel="1" x14ac:dyDescent="0.25">
      <c r="A99" s="35" t="s">
        <v>44</v>
      </c>
      <c r="B99" s="321">
        <v>0</v>
      </c>
      <c r="C99" s="321">
        <v>0</v>
      </c>
      <c r="D99" s="321">
        <v>0</v>
      </c>
      <c r="E99" s="321">
        <v>0</v>
      </c>
      <c r="F99" s="321">
        <v>0</v>
      </c>
      <c r="G99" s="54">
        <f>SUM(B99:F99)</f>
        <v>0</v>
      </c>
      <c r="R99" s="1"/>
      <c r="S99" s="1"/>
      <c r="T99" s="1"/>
      <c r="V99" s="80"/>
    </row>
    <row r="100" spans="1:22" x14ac:dyDescent="0.25">
      <c r="A100" s="96" t="s">
        <v>161</v>
      </c>
      <c r="B100" s="62">
        <f>ROUND(SUM(B99),0)</f>
        <v>0</v>
      </c>
      <c r="C100" s="62">
        <f t="shared" ref="C100:F100" si="65">ROUND(SUM(C99),0)</f>
        <v>0</v>
      </c>
      <c r="D100" s="62">
        <f t="shared" si="65"/>
        <v>0</v>
      </c>
      <c r="E100" s="62">
        <f t="shared" si="65"/>
        <v>0</v>
      </c>
      <c r="F100" s="62">
        <f t="shared" si="65"/>
        <v>0</v>
      </c>
      <c r="G100" s="53">
        <f>SUM(B100:F100)</f>
        <v>0</v>
      </c>
      <c r="H100" s="24"/>
      <c r="P100" s="135"/>
      <c r="Q100" s="135"/>
      <c r="R100" s="1"/>
      <c r="S100" s="1"/>
      <c r="T100" s="1"/>
    </row>
    <row r="101" spans="1:22" outlineLevel="1" x14ac:dyDescent="0.25">
      <c r="B101" s="48"/>
      <c r="C101" s="48"/>
      <c r="D101" s="48"/>
      <c r="E101" s="48"/>
      <c r="F101" s="48"/>
      <c r="G101" s="46"/>
      <c r="R101" s="1"/>
      <c r="S101" s="1"/>
      <c r="T101" s="1"/>
      <c r="V101" s="80"/>
    </row>
    <row r="102" spans="1:22" x14ac:dyDescent="0.25">
      <c r="A102" s="100" t="s">
        <v>33</v>
      </c>
      <c r="B102" s="59"/>
      <c r="C102" s="59"/>
      <c r="D102" s="48"/>
      <c r="E102" s="48"/>
      <c r="F102" s="48"/>
      <c r="G102" s="46"/>
      <c r="R102" s="1"/>
      <c r="S102" s="1"/>
      <c r="T102" s="1"/>
      <c r="V102" s="80"/>
    </row>
    <row r="103" spans="1:22" x14ac:dyDescent="0.25">
      <c r="A103" s="35" t="s">
        <v>31</v>
      </c>
      <c r="B103" s="321">
        <f>SUM(J52,J57,J62)</f>
        <v>0</v>
      </c>
      <c r="C103" s="321">
        <f t="shared" ref="C103:F103" si="66">SUM(K52,K57,K62)</f>
        <v>0</v>
      </c>
      <c r="D103" s="321">
        <f t="shared" si="66"/>
        <v>0</v>
      </c>
      <c r="E103" s="321">
        <f t="shared" si="66"/>
        <v>0</v>
      </c>
      <c r="F103" s="321">
        <f t="shared" si="66"/>
        <v>0</v>
      </c>
      <c r="G103" s="54">
        <f>SUM(B103:F103)</f>
        <v>0</v>
      </c>
      <c r="R103" s="1"/>
      <c r="S103" s="1"/>
      <c r="T103" s="1"/>
      <c r="V103" s="80"/>
    </row>
    <row r="104" spans="1:22" x14ac:dyDescent="0.25">
      <c r="A104" s="35" t="s">
        <v>97</v>
      </c>
      <c r="B104" s="322">
        <v>0</v>
      </c>
      <c r="C104" s="322">
        <v>0</v>
      </c>
      <c r="D104" s="322">
        <v>0</v>
      </c>
      <c r="E104" s="322">
        <v>0</v>
      </c>
      <c r="F104" s="322">
        <v>0</v>
      </c>
      <c r="G104" s="54">
        <f>SUM(B104:F104)</f>
        <v>0</v>
      </c>
      <c r="H104" s="3"/>
      <c r="R104" s="1"/>
      <c r="S104" s="1"/>
      <c r="T104" s="1"/>
      <c r="V104" s="80"/>
    </row>
    <row r="105" spans="1:22" outlineLevel="1" x14ac:dyDescent="0.25">
      <c r="A105" s="35"/>
      <c r="B105" s="64"/>
      <c r="C105" s="64"/>
      <c r="D105" s="64"/>
      <c r="E105" s="64"/>
      <c r="F105" s="64"/>
      <c r="G105" s="54"/>
      <c r="R105" s="1"/>
      <c r="S105" s="1"/>
      <c r="T105" s="1"/>
      <c r="V105" s="80"/>
    </row>
    <row r="106" spans="1:22" outlineLevel="1" x14ac:dyDescent="0.25">
      <c r="A106" s="323" t="s">
        <v>88</v>
      </c>
      <c r="B106" s="281">
        <v>0</v>
      </c>
      <c r="C106" s="281">
        <v>0</v>
      </c>
      <c r="D106" s="281">
        <v>0</v>
      </c>
      <c r="E106" s="281">
        <v>0</v>
      </c>
      <c r="F106" s="281">
        <v>0</v>
      </c>
      <c r="G106" s="46">
        <f>SUM(B106:F106)</f>
        <v>0</v>
      </c>
      <c r="H106" s="14"/>
      <c r="R106" s="1"/>
      <c r="S106" s="1"/>
      <c r="T106" s="1"/>
      <c r="V106" s="80"/>
    </row>
    <row r="107" spans="1:22" outlineLevel="1" x14ac:dyDescent="0.25">
      <c r="A107" s="323" t="s">
        <v>89</v>
      </c>
      <c r="B107" s="281">
        <v>0</v>
      </c>
      <c r="C107" s="281">
        <v>0</v>
      </c>
      <c r="D107" s="281">
        <v>0</v>
      </c>
      <c r="E107" s="281">
        <v>0</v>
      </c>
      <c r="F107" s="281">
        <v>0</v>
      </c>
      <c r="G107" s="46">
        <f t="shared" ref="G107:G111" si="67">SUM(B107:F107)</f>
        <v>0</v>
      </c>
      <c r="H107" s="14"/>
      <c r="R107" s="1"/>
      <c r="S107" s="1"/>
      <c r="T107" s="1"/>
      <c r="V107" s="80"/>
    </row>
    <row r="108" spans="1:22" x14ac:dyDescent="0.25">
      <c r="A108" s="323" t="s">
        <v>90</v>
      </c>
      <c r="B108" s="281">
        <v>0</v>
      </c>
      <c r="C108" s="281">
        <v>0</v>
      </c>
      <c r="D108" s="281">
        <v>0</v>
      </c>
      <c r="E108" s="281">
        <v>0</v>
      </c>
      <c r="F108" s="281">
        <v>0</v>
      </c>
      <c r="G108" s="46">
        <f t="shared" si="67"/>
        <v>0</v>
      </c>
      <c r="H108" s="14"/>
      <c r="R108" s="1"/>
      <c r="S108" s="1"/>
      <c r="T108" s="1"/>
      <c r="V108" s="80"/>
    </row>
    <row r="109" spans="1:22" x14ac:dyDescent="0.25">
      <c r="A109" s="323" t="s">
        <v>91</v>
      </c>
      <c r="B109" s="281">
        <v>0</v>
      </c>
      <c r="C109" s="281">
        <v>0</v>
      </c>
      <c r="D109" s="281">
        <v>0</v>
      </c>
      <c r="E109" s="281">
        <v>0</v>
      </c>
      <c r="F109" s="281">
        <v>0</v>
      </c>
      <c r="G109" s="46">
        <f t="shared" si="67"/>
        <v>0</v>
      </c>
      <c r="H109" s="14"/>
      <c r="R109" s="1"/>
      <c r="S109" s="1"/>
      <c r="T109" s="1"/>
      <c r="V109" s="80"/>
    </row>
    <row r="110" spans="1:22" x14ac:dyDescent="0.25">
      <c r="A110" s="323" t="s">
        <v>102</v>
      </c>
      <c r="B110" s="281">
        <v>0</v>
      </c>
      <c r="C110" s="281">
        <v>0</v>
      </c>
      <c r="D110" s="281">
        <v>0</v>
      </c>
      <c r="E110" s="281">
        <v>0</v>
      </c>
      <c r="F110" s="281">
        <v>0</v>
      </c>
      <c r="G110" s="46">
        <f t="shared" si="67"/>
        <v>0</v>
      </c>
      <c r="H110" s="14"/>
      <c r="R110" s="1"/>
      <c r="S110" s="1"/>
      <c r="T110" s="1"/>
      <c r="V110" s="80"/>
    </row>
    <row r="111" spans="1:22" outlineLevel="1" x14ac:dyDescent="0.25">
      <c r="A111" s="324" t="s">
        <v>103</v>
      </c>
      <c r="B111" s="281">
        <v>0</v>
      </c>
      <c r="C111" s="281">
        <v>0</v>
      </c>
      <c r="D111" s="281">
        <v>0</v>
      </c>
      <c r="E111" s="281">
        <v>0</v>
      </c>
      <c r="F111" s="281">
        <v>0</v>
      </c>
      <c r="G111" s="46">
        <f t="shared" si="67"/>
        <v>0</v>
      </c>
      <c r="H111" s="14"/>
      <c r="R111" s="1"/>
      <c r="S111" s="1"/>
      <c r="T111" s="1"/>
      <c r="V111" s="80"/>
    </row>
    <row r="112" spans="1:22" outlineLevel="1" x14ac:dyDescent="0.25">
      <c r="A112" s="101" t="s">
        <v>87</v>
      </c>
      <c r="B112" s="50">
        <f>SUM(B106:B111)</f>
        <v>0</v>
      </c>
      <c r="C112" s="50">
        <f t="shared" ref="C112:F112" si="68">SUM(C106:C111)</f>
        <v>0</v>
      </c>
      <c r="D112" s="50">
        <f t="shared" si="68"/>
        <v>0</v>
      </c>
      <c r="E112" s="50">
        <f t="shared" si="68"/>
        <v>0</v>
      </c>
      <c r="F112" s="50">
        <f t="shared" si="68"/>
        <v>0</v>
      </c>
      <c r="G112" s="51">
        <f>SUM(B112:F112)</f>
        <v>0</v>
      </c>
      <c r="H112" s="24"/>
      <c r="R112" s="1"/>
      <c r="S112" s="1"/>
      <c r="T112" s="1"/>
      <c r="V112" s="80"/>
    </row>
    <row r="113" spans="1:22" x14ac:dyDescent="0.25">
      <c r="A113" s="36"/>
      <c r="B113" s="65"/>
      <c r="C113" s="65"/>
      <c r="D113" s="65"/>
      <c r="E113" s="65"/>
      <c r="F113" s="65"/>
      <c r="G113" s="65"/>
      <c r="H113" s="24"/>
      <c r="R113" s="1"/>
      <c r="S113" s="1"/>
      <c r="T113" s="1"/>
      <c r="V113" s="80"/>
    </row>
    <row r="114" spans="1:22" x14ac:dyDescent="0.25">
      <c r="A114" s="102" t="s">
        <v>38</v>
      </c>
      <c r="B114" s="62">
        <f>ROUND(SUM(B103:B104,B112),0)</f>
        <v>0</v>
      </c>
      <c r="C114" s="62">
        <f t="shared" ref="C114:F114" si="69">ROUND(SUM(C103:C104,C112),0)</f>
        <v>0</v>
      </c>
      <c r="D114" s="62">
        <f t="shared" si="69"/>
        <v>0</v>
      </c>
      <c r="E114" s="62">
        <f t="shared" si="69"/>
        <v>0</v>
      </c>
      <c r="F114" s="62">
        <f t="shared" si="69"/>
        <v>0</v>
      </c>
      <c r="G114" s="53">
        <f>SUM(B114:F114)</f>
        <v>0</v>
      </c>
      <c r="H114" s="24"/>
      <c r="R114" s="1"/>
      <c r="S114" s="1"/>
      <c r="T114" s="1"/>
      <c r="V114" s="80"/>
    </row>
    <row r="115" spans="1:22" x14ac:dyDescent="0.25">
      <c r="A115" s="37"/>
      <c r="B115" s="66"/>
      <c r="C115" s="66"/>
      <c r="D115" s="67"/>
      <c r="E115" s="67"/>
      <c r="F115" s="67"/>
      <c r="G115" s="54"/>
      <c r="R115" s="1"/>
      <c r="S115" s="1"/>
      <c r="T115" s="1"/>
      <c r="V115" s="80"/>
    </row>
    <row r="116" spans="1:22" outlineLevel="1" x14ac:dyDescent="0.25">
      <c r="A116" s="103" t="s">
        <v>92</v>
      </c>
      <c r="B116" s="92">
        <f>B118-B107-B109-B111</f>
        <v>0</v>
      </c>
      <c r="C116" s="92">
        <f t="shared" ref="C116:F116" si="70">C118-C107-C109-C111</f>
        <v>0</v>
      </c>
      <c r="D116" s="92">
        <f t="shared" si="70"/>
        <v>0</v>
      </c>
      <c r="E116" s="92">
        <f t="shared" si="70"/>
        <v>0</v>
      </c>
      <c r="F116" s="92">
        <f t="shared" si="70"/>
        <v>0</v>
      </c>
      <c r="G116" s="93">
        <f>SUM(B116:F116)</f>
        <v>0</v>
      </c>
      <c r="R116" s="1"/>
      <c r="S116" s="1"/>
      <c r="T116" s="1"/>
      <c r="V116" s="80"/>
    </row>
    <row r="117" spans="1:22" outlineLevel="1" x14ac:dyDescent="0.25">
      <c r="A117" s="37"/>
      <c r="B117" s="66"/>
      <c r="C117" s="66"/>
      <c r="D117" s="67"/>
      <c r="E117" s="67"/>
      <c r="F117" s="67"/>
      <c r="G117" s="54"/>
      <c r="R117" s="1"/>
      <c r="S117" s="1"/>
      <c r="T117" s="1"/>
      <c r="V117" s="80"/>
    </row>
    <row r="118" spans="1:22" outlineLevel="1" x14ac:dyDescent="0.25">
      <c r="A118" s="100" t="s">
        <v>2</v>
      </c>
      <c r="B118" s="68">
        <f>SUM(B85,B91,B96,B100,B114)</f>
        <v>0</v>
      </c>
      <c r="C118" s="68">
        <f t="shared" ref="C118:F118" si="71">SUM(C85,C91,C96,C100,C114)</f>
        <v>0</v>
      </c>
      <c r="D118" s="68">
        <f t="shared" si="71"/>
        <v>0</v>
      </c>
      <c r="E118" s="68">
        <f t="shared" si="71"/>
        <v>0</v>
      </c>
      <c r="F118" s="68">
        <f t="shared" si="71"/>
        <v>0</v>
      </c>
      <c r="G118" s="54">
        <f t="shared" ref="G118:G123" si="72">SUM(B118:F118)</f>
        <v>0</v>
      </c>
      <c r="H118" s="3"/>
      <c r="R118" s="1"/>
      <c r="S118" s="1"/>
      <c r="T118" s="1"/>
      <c r="V118" s="80"/>
    </row>
    <row r="119" spans="1:22" outlineLevel="1" x14ac:dyDescent="0.25">
      <c r="A119" s="35" t="s">
        <v>45</v>
      </c>
      <c r="B119" s="81">
        <f>-B91</f>
        <v>0</v>
      </c>
      <c r="C119" s="81">
        <f>-C91</f>
        <v>0</v>
      </c>
      <c r="D119" s="81">
        <f>-D91</f>
        <v>0</v>
      </c>
      <c r="E119" s="81">
        <f>-E91</f>
        <v>0</v>
      </c>
      <c r="F119" s="81">
        <f>-F91</f>
        <v>0</v>
      </c>
      <c r="G119" s="54">
        <f t="shared" si="72"/>
        <v>0</v>
      </c>
      <c r="H119" s="3"/>
      <c r="R119" s="1"/>
      <c r="S119" s="1"/>
      <c r="T119" s="1"/>
      <c r="V119" s="80"/>
    </row>
    <row r="120" spans="1:22" outlineLevel="1" x14ac:dyDescent="0.25">
      <c r="A120" s="87" t="s">
        <v>32</v>
      </c>
      <c r="B120" s="81">
        <f>-B103</f>
        <v>0</v>
      </c>
      <c r="C120" s="81">
        <f>-C103</f>
        <v>0</v>
      </c>
      <c r="D120" s="81">
        <f>-D103</f>
        <v>0</v>
      </c>
      <c r="E120" s="68">
        <f>-E103</f>
        <v>0</v>
      </c>
      <c r="F120" s="68">
        <f>-F103</f>
        <v>0</v>
      </c>
      <c r="G120" s="54">
        <f t="shared" si="72"/>
        <v>0</v>
      </c>
      <c r="H120" s="3"/>
      <c r="R120" s="1"/>
      <c r="S120" s="1"/>
      <c r="T120" s="1"/>
      <c r="V120" s="80"/>
    </row>
    <row r="121" spans="1:22" outlineLevel="1" x14ac:dyDescent="0.25">
      <c r="A121" s="87" t="s">
        <v>47</v>
      </c>
      <c r="B121" s="91">
        <f>-B100</f>
        <v>0</v>
      </c>
      <c r="C121" s="91">
        <f t="shared" ref="C121:F121" si="73">-C100</f>
        <v>0</v>
      </c>
      <c r="D121" s="91">
        <f t="shared" si="73"/>
        <v>0</v>
      </c>
      <c r="E121" s="91">
        <f t="shared" si="73"/>
        <v>0</v>
      </c>
      <c r="F121" s="91">
        <f t="shared" si="73"/>
        <v>0</v>
      </c>
      <c r="G121" s="54">
        <f t="shared" si="72"/>
        <v>0</v>
      </c>
      <c r="H121" s="3"/>
      <c r="R121" s="1"/>
      <c r="S121" s="1"/>
      <c r="T121" s="1"/>
      <c r="V121" s="80"/>
    </row>
    <row r="122" spans="1:22" outlineLevel="1" x14ac:dyDescent="0.25">
      <c r="A122" s="87" t="s">
        <v>46</v>
      </c>
      <c r="B122" s="325">
        <v>0</v>
      </c>
      <c r="C122" s="325">
        <v>0</v>
      </c>
      <c r="D122" s="325">
        <v>0</v>
      </c>
      <c r="E122" s="325">
        <v>0</v>
      </c>
      <c r="F122" s="325">
        <v>0</v>
      </c>
      <c r="G122" s="46">
        <f t="shared" si="72"/>
        <v>0</v>
      </c>
      <c r="H122" s="3"/>
      <c r="R122" s="1"/>
      <c r="S122" s="1"/>
      <c r="T122" s="1"/>
      <c r="V122" s="80"/>
    </row>
    <row r="123" spans="1:22" x14ac:dyDescent="0.25">
      <c r="A123" s="96" t="s">
        <v>13</v>
      </c>
      <c r="B123" s="53">
        <f>ROUND(SUM(B118:B122),0)</f>
        <v>0</v>
      </c>
      <c r="C123" s="53">
        <f t="shared" ref="C123:F123" si="74">ROUND(SUM(C118:C122),0)</f>
        <v>0</v>
      </c>
      <c r="D123" s="53">
        <f t="shared" si="74"/>
        <v>0</v>
      </c>
      <c r="E123" s="53">
        <f t="shared" si="74"/>
        <v>0</v>
      </c>
      <c r="F123" s="53">
        <f t="shared" si="74"/>
        <v>0</v>
      </c>
      <c r="G123" s="51">
        <f t="shared" si="72"/>
        <v>0</v>
      </c>
      <c r="H123" s="3"/>
      <c r="P123" s="127" t="s">
        <v>134</v>
      </c>
      <c r="Q123" s="127" t="s">
        <v>133</v>
      </c>
      <c r="R123" s="1"/>
      <c r="S123" s="1"/>
      <c r="T123" s="1"/>
      <c r="V123" s="80"/>
    </row>
    <row r="124" spans="1:22" x14ac:dyDescent="0.25">
      <c r="A124" s="26"/>
      <c r="B124" s="69"/>
      <c r="C124" s="69"/>
      <c r="D124" s="48"/>
      <c r="E124" s="48"/>
      <c r="F124" s="48"/>
      <c r="G124" s="46"/>
      <c r="P124" s="139"/>
      <c r="Q124" s="135" t="s">
        <v>124</v>
      </c>
      <c r="R124" s="1"/>
      <c r="S124" s="1"/>
      <c r="T124" s="1"/>
      <c r="V124" s="80"/>
    </row>
    <row r="125" spans="1:22" x14ac:dyDescent="0.25">
      <c r="A125" s="98" t="s">
        <v>30</v>
      </c>
      <c r="B125" s="69"/>
      <c r="C125" s="69"/>
      <c r="D125" s="48"/>
      <c r="E125" s="48"/>
      <c r="F125" s="48"/>
      <c r="G125" s="46"/>
      <c r="I125" s="127" t="s">
        <v>123</v>
      </c>
      <c r="J125" s="132" t="s">
        <v>125</v>
      </c>
      <c r="P125" s="135"/>
      <c r="Q125" s="135" t="s">
        <v>135</v>
      </c>
      <c r="R125" s="1"/>
      <c r="S125" s="1"/>
      <c r="T125" s="1"/>
      <c r="V125" s="80"/>
    </row>
    <row r="126" spans="1:22" x14ac:dyDescent="0.25">
      <c r="A126" s="87" t="str">
        <f>IF(J126="TC","F&amp;A Costs @ "&amp;ROUND(I126/(1-I126),4)*100&amp;"% TDC or " &amp;I126*100&amp;"% TC", "F&amp;A Costs @ "&amp;I126*100&amp;"% "&amp;J126)</f>
        <v>F&amp;A Costs @ 0% MTDC</v>
      </c>
      <c r="B126" s="48">
        <f>IF($J$126="MTDC",(B123*$I$126),IF($J$126="TDC",(B118*$I$126),IF($J$126="TC",(B118*($I$126/(1-$I$126))))))</f>
        <v>0</v>
      </c>
      <c r="C126" s="48">
        <f t="shared" ref="C126:E126" si="75">IF($J$126="MTDC",(C123*$I$126),IF($J$126="TDC",(C118*$I$126),IF($J$126="TC",(C118*($I$126/(1-$I$126))))))</f>
        <v>0</v>
      </c>
      <c r="D126" s="48">
        <f t="shared" si="75"/>
        <v>0</v>
      </c>
      <c r="E126" s="48">
        <f t="shared" si="75"/>
        <v>0</v>
      </c>
      <c r="F126" s="48">
        <f>IF($J$126="MTDC",(F123*$I$126),IF($J$126="TDC",(F118*$I$126),IF($J$126="TC",(F118*($I$126/(1-$I$126))))))</f>
        <v>0</v>
      </c>
      <c r="G126" s="46">
        <f>SUM(B126:F126)</f>
        <v>0</v>
      </c>
      <c r="H126" s="3"/>
      <c r="I126" s="279">
        <v>0</v>
      </c>
      <c r="J126" s="278" t="s">
        <v>124</v>
      </c>
      <c r="P126" s="135"/>
      <c r="Q126" s="135" t="s">
        <v>136</v>
      </c>
      <c r="R126" s="1"/>
      <c r="S126" s="1"/>
      <c r="T126" s="1"/>
      <c r="V126" s="80"/>
    </row>
    <row r="127" spans="1:22" x14ac:dyDescent="0.25">
      <c r="A127" s="96" t="s">
        <v>53</v>
      </c>
      <c r="B127" s="53">
        <f>ROUND(SUM(B126:B126),0)</f>
        <v>0</v>
      </c>
      <c r="C127" s="53">
        <f t="shared" ref="C127:F127" si="76">ROUND(SUM(C126:C126),0)</f>
        <v>0</v>
      </c>
      <c r="D127" s="53">
        <f t="shared" si="76"/>
        <v>0</v>
      </c>
      <c r="E127" s="53">
        <f t="shared" si="76"/>
        <v>0</v>
      </c>
      <c r="F127" s="53">
        <f t="shared" si="76"/>
        <v>0</v>
      </c>
      <c r="G127" s="51">
        <f>SUM(B127:F127)</f>
        <v>0</v>
      </c>
      <c r="H127" s="3"/>
      <c r="R127" s="1"/>
      <c r="S127" s="1"/>
      <c r="T127" s="1"/>
      <c r="V127" s="80"/>
    </row>
    <row r="128" spans="1:22" x14ac:dyDescent="0.25">
      <c r="A128" s="13"/>
      <c r="B128" s="48"/>
      <c r="C128" s="48"/>
      <c r="D128" s="48"/>
      <c r="E128" s="48"/>
      <c r="F128" s="48"/>
      <c r="G128" s="46"/>
      <c r="I128" s="141"/>
      <c r="R128" s="1"/>
      <c r="S128" s="1"/>
      <c r="T128" s="1"/>
      <c r="V128" s="80"/>
    </row>
    <row r="129" spans="1:22" x14ac:dyDescent="0.25">
      <c r="A129" s="97" t="s">
        <v>96</v>
      </c>
      <c r="B129" s="58">
        <f>B118+B127</f>
        <v>0</v>
      </c>
      <c r="C129" s="58">
        <f>C118+C127</f>
        <v>0</v>
      </c>
      <c r="D129" s="58">
        <f>D118+D127</f>
        <v>0</v>
      </c>
      <c r="E129" s="58">
        <f>E118+E127</f>
        <v>0</v>
      </c>
      <c r="F129" s="58">
        <f>F118+F127</f>
        <v>0</v>
      </c>
      <c r="G129" s="58">
        <f>SUM(B129:F129)</f>
        <v>0</v>
      </c>
      <c r="H129" s="3"/>
      <c r="R129" s="1"/>
      <c r="S129" s="1"/>
      <c r="T129" s="1"/>
      <c r="V129" s="80"/>
    </row>
    <row r="130" spans="1:22" ht="16.5" thickBot="1" x14ac:dyDescent="0.3">
      <c r="R130" s="1"/>
      <c r="S130" s="1"/>
      <c r="T130" s="1"/>
      <c r="V130" s="80"/>
    </row>
    <row r="131" spans="1:22" ht="45" customHeight="1" thickBot="1" x14ac:dyDescent="0.3">
      <c r="A131" s="378" t="s">
        <v>57</v>
      </c>
      <c r="B131" s="379"/>
      <c r="C131" s="379"/>
      <c r="D131" s="379"/>
      <c r="E131" s="379"/>
      <c r="F131" s="379"/>
      <c r="G131" s="380"/>
    </row>
    <row r="134" spans="1:22" x14ac:dyDescent="0.25">
      <c r="A134" s="27"/>
    </row>
  </sheetData>
  <sheetProtection formatCells="0" formatColumns="0" formatRows="0" insertRows="0" deleteColumns="0" deleteRows="0" selectLockedCells="1" sort="0"/>
  <mergeCells count="13">
    <mergeCell ref="A2:G2"/>
    <mergeCell ref="I1:O1"/>
    <mergeCell ref="A4:G4"/>
    <mergeCell ref="A131:G131"/>
    <mergeCell ref="A9:A10"/>
    <mergeCell ref="A15:A16"/>
    <mergeCell ref="A21:A22"/>
    <mergeCell ref="A27:A28"/>
    <mergeCell ref="A33:A34"/>
    <mergeCell ref="A39:A40"/>
    <mergeCell ref="A55:A56"/>
    <mergeCell ref="A60:A61"/>
    <mergeCell ref="A65:A66"/>
  </mergeCells>
  <dataValidations count="2">
    <dataValidation type="list" allowBlank="1" showInputMessage="1" showErrorMessage="1" sqref="U11 U17 U23 U29 U35 U41 U63 U58 U53" xr:uid="{00000000-0002-0000-0900-000000000000}">
      <formula1>$R$3:$R$4</formula1>
    </dataValidation>
    <dataValidation type="list" allowBlank="1" showInputMessage="1" showErrorMessage="1" sqref="J126" xr:uid="{00000000-0002-0000-0900-000001000000}">
      <formula1>$Q$124:$Q$126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34"/>
  <sheetViews>
    <sheetView zoomScale="80" zoomScaleNormal="80" workbookViewId="0">
      <pane ySplit="5" topLeftCell="A117" activePane="bottomLeft" state="frozen"/>
      <selection activeCell="O39" sqref="O39"/>
      <selection pane="bottomLeft" activeCell="I136" sqref="I135:I136"/>
    </sheetView>
  </sheetViews>
  <sheetFormatPr defaultColWidth="8.7109375" defaultRowHeight="15.75" outlineLevelRow="1" x14ac:dyDescent="0.25"/>
  <cols>
    <col min="1" max="1" width="55.7109375" style="12" customWidth="1"/>
    <col min="2" max="6" width="13.7109375" style="12" customWidth="1"/>
    <col min="7" max="7" width="14.7109375" style="173" customWidth="1"/>
    <col min="8" max="8" width="2.7109375" style="173" customWidth="1"/>
    <col min="9" max="9" width="33" style="12" customWidth="1"/>
    <col min="10" max="14" width="11.7109375" style="12" customWidth="1"/>
    <col min="15" max="15" width="14.42578125" style="1" bestFit="1" customWidth="1"/>
    <col min="16" max="16" width="6.28515625" style="12" hidden="1" customWidth="1"/>
    <col min="17" max="17" width="8.7109375" style="12" hidden="1" customWidth="1"/>
    <col min="18" max="18" width="8.7109375" style="82" hidden="1" customWidth="1"/>
    <col min="19" max="19" width="3.42578125" style="82" customWidth="1"/>
    <col min="20" max="20" width="28.42578125" style="82" bestFit="1" customWidth="1"/>
    <col min="21" max="21" width="12.7109375" style="12" customWidth="1"/>
    <col min="22" max="22" width="12" style="12" bestFit="1" customWidth="1"/>
    <col min="23" max="16384" width="8.7109375" style="12"/>
  </cols>
  <sheetData>
    <row r="1" spans="1:23" s="173" customFormat="1" ht="40.35" customHeight="1" x14ac:dyDescent="0.3">
      <c r="A1" s="40"/>
      <c r="B1" s="12"/>
      <c r="G1" s="174"/>
      <c r="I1" s="412" t="s">
        <v>18</v>
      </c>
      <c r="J1" s="413"/>
      <c r="K1" s="413"/>
      <c r="L1" s="413"/>
      <c r="M1" s="413"/>
      <c r="N1" s="413"/>
      <c r="O1" s="414"/>
      <c r="U1" s="175"/>
      <c r="V1" s="175"/>
    </row>
    <row r="2" spans="1:23" s="173" customFormat="1" x14ac:dyDescent="0.25">
      <c r="A2" s="415" t="s">
        <v>172</v>
      </c>
      <c r="B2" s="415"/>
      <c r="C2" s="415"/>
      <c r="D2" s="415"/>
      <c r="E2" s="415"/>
      <c r="F2" s="415"/>
      <c r="G2" s="415"/>
      <c r="I2" s="28"/>
      <c r="J2" s="176" t="s">
        <v>28</v>
      </c>
      <c r="K2" s="176"/>
      <c r="L2" s="176"/>
      <c r="M2" s="176"/>
      <c r="N2" s="176"/>
      <c r="O2" s="43" t="s">
        <v>29</v>
      </c>
      <c r="P2" s="12">
        <f>IF(MONTH(J3)&gt;6, 12+7-MONTH(J3), 7-MONTH(J3))</f>
        <v>6</v>
      </c>
      <c r="R2" s="173" t="s">
        <v>129</v>
      </c>
      <c r="T2" s="177" t="s">
        <v>158</v>
      </c>
      <c r="U2" s="326">
        <f>Budget!U1</f>
        <v>0</v>
      </c>
    </row>
    <row r="3" spans="1:23" x14ac:dyDescent="0.25">
      <c r="A3" s="178" t="str">
        <f>"Period of Performance: "&amp;TEXT(J3, "mm/dd/yy")&amp;" - "&amp;TEXT(O3, "mm/dd/yy")&amp;" ["&amp;ROUND(J5,2)&amp; " Year(s)]"</f>
        <v>Period of Performance: 01/00/00 - 01/00/00 [0 Year(s)]</v>
      </c>
      <c r="B3" s="179"/>
      <c r="C3" s="179"/>
      <c r="D3" s="179"/>
      <c r="E3" s="179"/>
      <c r="F3" s="179"/>
      <c r="G3" s="178"/>
      <c r="I3" s="180" t="s">
        <v>52</v>
      </c>
      <c r="J3" s="262">
        <f>Budget!J4</f>
        <v>0</v>
      </c>
      <c r="K3" s="262"/>
      <c r="L3" s="262"/>
      <c r="M3" s="262"/>
      <c r="N3" s="262"/>
      <c r="O3" s="263">
        <f>Budget!O4</f>
        <v>0</v>
      </c>
      <c r="P3" s="12">
        <f>IF(DAY(J3)&gt;1,(P2-1+((DAY(DATE(YEAR(J3),MONTH(J3)+1,0))-DAY(J3))/DAY(DATE(YEAR(J3),MONTH(J3)+1,0)))),P2)</f>
        <v>6</v>
      </c>
      <c r="R3" s="12" t="s">
        <v>127</v>
      </c>
      <c r="S3" s="12"/>
      <c r="T3" s="127" t="s">
        <v>154</v>
      </c>
      <c r="U3" s="309"/>
      <c r="V3" s="310"/>
      <c r="W3" s="170" t="s">
        <v>167</v>
      </c>
    </row>
    <row r="4" spans="1:23" x14ac:dyDescent="0.25">
      <c r="A4" s="416" t="s">
        <v>156</v>
      </c>
      <c r="B4" s="416"/>
      <c r="C4" s="416"/>
      <c r="D4" s="416"/>
      <c r="E4" s="416"/>
      <c r="F4" s="416"/>
      <c r="G4" s="416"/>
      <c r="I4" s="181"/>
      <c r="J4" s="175" t="s">
        <v>80</v>
      </c>
      <c r="K4" s="175"/>
      <c r="L4" s="175"/>
      <c r="M4" s="175"/>
      <c r="N4" s="175"/>
      <c r="O4" s="41" t="s">
        <v>14</v>
      </c>
      <c r="P4" s="12">
        <f>IF(O3-J3&lt;366, P3/((YEAR(O3)-YEAR(J3))*12+MONTH(O3)-MONTH(J3)+1),0)</f>
        <v>6</v>
      </c>
      <c r="R4" s="12" t="s">
        <v>128</v>
      </c>
      <c r="S4" s="12"/>
      <c r="T4" s="175" t="s">
        <v>81</v>
      </c>
      <c r="U4" s="175" t="s">
        <v>82</v>
      </c>
      <c r="V4" s="175" t="s">
        <v>86</v>
      </c>
    </row>
    <row r="5" spans="1:23" s="175" customFormat="1" x14ac:dyDescent="0.25">
      <c r="B5" s="182" t="s">
        <v>6</v>
      </c>
      <c r="C5" s="183" t="s">
        <v>5</v>
      </c>
      <c r="D5" s="183" t="s">
        <v>7</v>
      </c>
      <c r="E5" s="183" t="s">
        <v>8</v>
      </c>
      <c r="F5" s="183" t="s">
        <v>9</v>
      </c>
      <c r="G5" s="183" t="s">
        <v>10</v>
      </c>
      <c r="I5" s="184"/>
      <c r="J5" s="185">
        <f>YEARFRAC(J3, O3)</f>
        <v>0</v>
      </c>
      <c r="K5" s="185"/>
      <c r="L5" s="185"/>
      <c r="M5" s="185"/>
      <c r="N5" s="185"/>
      <c r="O5" s="264">
        <v>0</v>
      </c>
      <c r="T5" s="175" t="s">
        <v>51</v>
      </c>
      <c r="U5" s="175" t="s">
        <v>83</v>
      </c>
      <c r="V5" s="175" t="s">
        <v>126</v>
      </c>
    </row>
    <row r="6" spans="1:23" s="173" customFormat="1" x14ac:dyDescent="0.25">
      <c r="A6" s="178" t="s">
        <v>3</v>
      </c>
      <c r="B6" s="186"/>
      <c r="C6" s="186"/>
      <c r="D6" s="186"/>
      <c r="E6" s="186"/>
      <c r="F6" s="186"/>
      <c r="G6" s="186"/>
      <c r="I6" s="181"/>
      <c r="J6" s="175" t="s">
        <v>6</v>
      </c>
      <c r="K6" s="175" t="s">
        <v>5</v>
      </c>
      <c r="L6" s="175" t="s">
        <v>7</v>
      </c>
      <c r="M6" s="175" t="s">
        <v>8</v>
      </c>
      <c r="N6" s="175" t="s">
        <v>9</v>
      </c>
      <c r="O6" s="10"/>
      <c r="T6" s="187"/>
      <c r="U6" s="175"/>
      <c r="V6" s="175"/>
    </row>
    <row r="7" spans="1:23" outlineLevel="1" x14ac:dyDescent="0.25">
      <c r="A7" s="188" t="s">
        <v>84</v>
      </c>
      <c r="B7" s="47"/>
      <c r="C7" s="189"/>
      <c r="D7" s="189"/>
      <c r="E7" s="189"/>
      <c r="F7" s="189"/>
      <c r="G7" s="186"/>
      <c r="I7" s="190" t="s">
        <v>132</v>
      </c>
      <c r="J7" s="175">
        <f>IF(U11="F",J8*12,SUM(J9*9,J10))</f>
        <v>0</v>
      </c>
      <c r="K7" s="175">
        <f>IF(U11="F",K8*12,SUM(K9*9,K10))</f>
        <v>0</v>
      </c>
      <c r="L7" s="175">
        <f>IF(U11="F",L8*12,SUM(L9*9,L10))</f>
        <v>0</v>
      </c>
      <c r="M7" s="175">
        <f>IF(U11="F",M8*12,SUM(M9*9,M10))</f>
        <v>0</v>
      </c>
      <c r="N7" s="175">
        <f>IF(U11="F",N8*12,SUM(N9*9,N10))</f>
        <v>0</v>
      </c>
      <c r="O7" s="41" t="s">
        <v>51</v>
      </c>
      <c r="P7" s="134" t="s">
        <v>130</v>
      </c>
      <c r="Q7" s="134" t="s">
        <v>131</v>
      </c>
      <c r="R7" s="11"/>
      <c r="S7" s="12"/>
      <c r="T7" s="191"/>
      <c r="U7" s="82"/>
      <c r="V7" s="82"/>
    </row>
    <row r="8" spans="1:23" outlineLevel="1" x14ac:dyDescent="0.25">
      <c r="A8" s="192" t="e">
        <f>ROUND(P8*100, 2)&amp;"% Avg. Fiscal Effort, "&amp;ROUND(Q8, 2)&amp;" Avg. Calendar Months"</f>
        <v>#DIV/0!</v>
      </c>
      <c r="B8" s="47">
        <f>O8*J8</f>
        <v>0</v>
      </c>
      <c r="C8" s="47">
        <f>IF($J$5&gt;1,IF($U$2&lt;&gt;0,IF(O8*(1+$O$5)&lt;=$U$2,O8*K8*(1+$O$5),$U$2*K8),O8*K8*(1+$O$5)),0)</f>
        <v>0</v>
      </c>
      <c r="D8" s="47">
        <f>IF($J$5&gt;2,IF($U$2&lt;&gt;0,IF(O8*(1+$O$5)^2&lt;=$U$2,O8*L8*(1+$O$5)^2,$U$2*L8),O8*L8*(1+$O$5)^2),0)</f>
        <v>0</v>
      </c>
      <c r="E8" s="47">
        <f>IF($J$5&gt;3,IF($U$2&lt;&gt;0,IF(O8*(1+$O$5)^3&lt;=$U$2,O8*M8*(1+$O$5)^3,$U$2*M8),O8*M8*(1+$O$5)^3),0)</f>
        <v>0</v>
      </c>
      <c r="F8" s="47">
        <f>IF($J$5&gt;4,IF($U$2&lt;&gt;0,IF(O8*(1+$O$5)^4&lt;=$U$2,O8*N8*(1+$O$5)^4,$U$2*N8),O8*N8*(1+$O$5)^4),0)</f>
        <v>0</v>
      </c>
      <c r="G8" s="186">
        <f>SUM(B8:F8)</f>
        <v>0</v>
      </c>
      <c r="H8" s="193"/>
      <c r="I8" s="190" t="s">
        <v>26</v>
      </c>
      <c r="J8" s="265">
        <v>0</v>
      </c>
      <c r="K8" s="265">
        <f>IF($J$5&gt;1,J8,0)</f>
        <v>0</v>
      </c>
      <c r="L8" s="265">
        <f>IF($J$5&gt;2,K8,0)</f>
        <v>0</v>
      </c>
      <c r="M8" s="265">
        <f>IF($J$5&gt;3,L8,0)</f>
        <v>0</v>
      </c>
      <c r="N8" s="265">
        <f>IF($J$5&gt;4,M8,0)</f>
        <v>0</v>
      </c>
      <c r="O8" s="128">
        <f>IF(U11="F",IF($U$2&lt;&gt;0,IF(T11&gt;$U$2,$U$2,T11),T11),0)</f>
        <v>0</v>
      </c>
      <c r="P8" s="138" t="e">
        <f>SUM(J7:N7)/(ROUNDUP($J$5,0)*12)</f>
        <v>#DIV/0!</v>
      </c>
      <c r="Q8" s="137" t="e">
        <f>(SUM(J7:N7)/(CEILING($J$5*12,12)))*12</f>
        <v>#DIV/0!</v>
      </c>
      <c r="R8" s="12"/>
      <c r="S8" s="12"/>
      <c r="T8" s="191"/>
      <c r="U8" s="82"/>
      <c r="V8" s="82"/>
    </row>
    <row r="9" spans="1:23" outlineLevel="1" x14ac:dyDescent="0.25">
      <c r="A9" s="411" t="e">
        <f>ROUND(P8*100,2)&amp;"% Annualized Effort, "&amp;ROUND(Q9,2)&amp;" Avg. Academic Months
"&amp;IF(SUM(J10:N10)&gt;0," and "&amp;Q10 &amp;" Avg. Summer Months", "")</f>
        <v>#DIV/0!</v>
      </c>
      <c r="B9" s="47">
        <f>J9*O9</f>
        <v>0</v>
      </c>
      <c r="C9" s="47">
        <f>IF($J$5&gt;1,IF($U$2&lt;&gt;0,IF(O9*(1+$O$5)&lt;=$U$2*0.75,O9*K9*(1+$O$5),$U$2*0.75*K9),O9*K9*(1+$O$5)),0)</f>
        <v>0</v>
      </c>
      <c r="D9" s="47">
        <f>IF($J$5&gt;2,IF($U$2&lt;&gt;0,IF(O9*(1+$O$5)^2&lt;=$U$2*0.75,O9*L9*(1+$O$5)^2,$U$2*0.75*L9),O9*L9*(1+$O$5)^2),0)</f>
        <v>0</v>
      </c>
      <c r="E9" s="47">
        <f>IF($J$5&gt;3,IF($U$2&lt;&gt;0,IF(O9*(1+$O$5)^3&lt;=$U$2*0.75,O9*M9*(1+$O$5)^3,$U$2*0.75*M9),O9*M9*(1+$O$5)^3),0)</f>
        <v>0</v>
      </c>
      <c r="F9" s="47">
        <f>IF($J$5&gt;4,IF($U$2&lt;&gt;0,IF(O9*(1+$O$5)^4&lt;=$U$2*0.75,O9*N9*(1+$O$5)^4,$U$2*0.75*N9),O9*N9*(1+$O$5)^4),0)</f>
        <v>0</v>
      </c>
      <c r="G9" s="186">
        <f>SUM(B9:F9)</f>
        <v>0</v>
      </c>
      <c r="H9" s="193"/>
      <c r="I9" s="190" t="s">
        <v>15</v>
      </c>
      <c r="J9" s="265">
        <v>0</v>
      </c>
      <c r="K9" s="265">
        <f t="shared" ref="K9:K10" si="0">IF($J$5&gt;1,J9,0)</f>
        <v>0</v>
      </c>
      <c r="L9" s="265">
        <f t="shared" ref="L9:L10" si="1">IF($J$5&gt;2,K9,0)</f>
        <v>0</v>
      </c>
      <c r="M9" s="265">
        <f t="shared" ref="M9:M10" si="2">IF($J$5&gt;3,L9,0)</f>
        <v>0</v>
      </c>
      <c r="N9" s="265">
        <f t="shared" ref="N9:N10" si="3">IF($J$5&gt;4,M9,0)</f>
        <v>0</v>
      </c>
      <c r="O9" s="128">
        <f>IF(U11="A",IF($U$2&lt;&gt;0,IF(T11&gt;($U$2/12*9),($U$2/12*9),T11),T11),0)</f>
        <v>0</v>
      </c>
      <c r="P9" s="194"/>
      <c r="Q9" s="137" t="e">
        <f>((SUM(J7:N7)-SUM(J10:N10))/(CEILING($J$5*9,9)))*9</f>
        <v>#DIV/0!</v>
      </c>
      <c r="R9" s="12"/>
      <c r="S9" s="12"/>
      <c r="T9" s="191"/>
      <c r="U9" s="82"/>
      <c r="V9" s="82"/>
    </row>
    <row r="10" spans="1:23" outlineLevel="1" x14ac:dyDescent="0.25">
      <c r="A10" s="411"/>
      <c r="B10" s="47">
        <f>J10/3*O10</f>
        <v>0</v>
      </c>
      <c r="C10" s="47">
        <f>IF($J$5&gt;1,IF($U$2&lt;&gt;0,IF(O10*(1+$O$5)&lt;=$U$2*0.25,O10*K10/3*(1+$O$5),$U$2*0.25*K10/3),O10*K10/3*(1+$O$5)),0)</f>
        <v>0</v>
      </c>
      <c r="D10" s="47">
        <f>IF($J$5&gt;2,IF($U$2&lt;&gt;0,IF(O10*(1+$O$5)^2&lt;=$U$2*0.25,O10*L10/3*(1+$O$5)^2,$U$2*0.25*L10/3),O10*L10/3*(1+$O$5)^2),0)</f>
        <v>0</v>
      </c>
      <c r="E10" s="47">
        <f>IF($J$5&gt;3,IF($U$2&lt;&gt;0,IF(O10*(1+$O$5)^3&lt;=$U$2*0.25,O10*M10/3*(1+$O$5)^3,$U$2*0.25*M10/3),O10*M10/3*(1+$O$5)^3),0)</f>
        <v>0</v>
      </c>
      <c r="F10" s="47">
        <f>IF($J$5&gt;4,IF($U$2&lt;&gt;0,IF(O10*(1+$O$5)^4&lt;=$U$2*0.25,O10*N10/3*(1+$O$5)^4,$U$2*0.25*N10/3),O10*N10/3*(1+$O$5)^4),0)</f>
        <v>0</v>
      </c>
      <c r="G10" s="186">
        <f>SUM(B10:F10)</f>
        <v>0</v>
      </c>
      <c r="H10" s="193"/>
      <c r="I10" s="190" t="s">
        <v>17</v>
      </c>
      <c r="J10" s="266">
        <v>0</v>
      </c>
      <c r="K10" s="266">
        <f t="shared" si="0"/>
        <v>0</v>
      </c>
      <c r="L10" s="266">
        <f t="shared" si="1"/>
        <v>0</v>
      </c>
      <c r="M10" s="266">
        <f t="shared" si="2"/>
        <v>0</v>
      </c>
      <c r="N10" s="266">
        <f t="shared" si="3"/>
        <v>0</v>
      </c>
      <c r="O10" s="128">
        <f>IF(U11="A",IF($U$2&lt;&gt;0,IF(T11/9*3&gt;($U$2/12*3),($U$2/12*3),T11/9*3),T11/9*3),0)</f>
        <v>0</v>
      </c>
      <c r="P10" s="138"/>
      <c r="Q10" s="138" t="e">
        <f>((SUM(J7:N7)-SUM(J9:N9)*9)/(CEILING($J$5*3,3)))*3</f>
        <v>#DIV/0!</v>
      </c>
      <c r="R10" s="12"/>
      <c r="S10" s="12"/>
      <c r="T10" s="12"/>
      <c r="U10" s="82"/>
      <c r="V10" s="82"/>
    </row>
    <row r="11" spans="1:23" outlineLevel="1" x14ac:dyDescent="0.25">
      <c r="A11" s="195"/>
      <c r="B11" s="47"/>
      <c r="C11" s="47"/>
      <c r="D11" s="189"/>
      <c r="E11" s="189"/>
      <c r="F11" s="189"/>
      <c r="G11" s="196"/>
      <c r="H11" s="197"/>
      <c r="I11" s="190" t="s">
        <v>111</v>
      </c>
      <c r="J11" s="130">
        <f>SUM(B8:B10)*$V11</f>
        <v>0</v>
      </c>
      <c r="K11" s="130">
        <f t="shared" ref="K11:N11" si="4">SUM(C8:C10)*$V11</f>
        <v>0</v>
      </c>
      <c r="L11" s="130">
        <f t="shared" si="4"/>
        <v>0</v>
      </c>
      <c r="M11" s="130">
        <f t="shared" si="4"/>
        <v>0</v>
      </c>
      <c r="N11" s="130">
        <f t="shared" si="4"/>
        <v>0</v>
      </c>
      <c r="O11" s="129"/>
      <c r="P11" s="138"/>
      <c r="Q11" s="138"/>
      <c r="R11" s="12"/>
      <c r="S11" s="12"/>
      <c r="T11" s="327">
        <v>0</v>
      </c>
      <c r="U11" s="328"/>
      <c r="V11" s="198">
        <f>$J$79</f>
        <v>0</v>
      </c>
    </row>
    <row r="12" spans="1:23" outlineLevel="1" x14ac:dyDescent="0.25">
      <c r="A12" s="195"/>
      <c r="B12" s="47"/>
      <c r="C12" s="47"/>
      <c r="D12" s="189"/>
      <c r="E12" s="189"/>
      <c r="F12" s="189"/>
      <c r="G12" s="196"/>
      <c r="H12" s="197"/>
      <c r="I12" s="199"/>
      <c r="J12" s="79"/>
      <c r="K12" s="79"/>
      <c r="L12" s="79"/>
      <c r="M12" s="79"/>
      <c r="N12" s="79"/>
      <c r="O12" s="21"/>
      <c r="P12" s="138"/>
      <c r="Q12" s="138"/>
      <c r="R12" s="12"/>
      <c r="S12" s="12"/>
      <c r="T12" s="191"/>
      <c r="U12" s="82"/>
      <c r="V12" s="82"/>
    </row>
    <row r="13" spans="1:23" outlineLevel="1" x14ac:dyDescent="0.25">
      <c r="A13" s="188" t="s">
        <v>84</v>
      </c>
      <c r="B13" s="47"/>
      <c r="C13" s="189"/>
      <c r="D13" s="189"/>
      <c r="E13" s="189"/>
      <c r="F13" s="189"/>
      <c r="G13" s="186"/>
      <c r="I13" s="190" t="s">
        <v>132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1" t="s">
        <v>51</v>
      </c>
      <c r="P13" s="134" t="s">
        <v>130</v>
      </c>
      <c r="Q13" s="134" t="s">
        <v>131</v>
      </c>
      <c r="R13" s="11"/>
      <c r="S13" s="12"/>
      <c r="T13" s="191"/>
      <c r="U13" s="82"/>
      <c r="V13" s="82"/>
    </row>
    <row r="14" spans="1:23" ht="15.75" customHeight="1" outlineLevel="1" x14ac:dyDescent="0.25">
      <c r="A14" s="192" t="e">
        <f>ROUND(P14*100, 2)&amp;"% Avg. Fiscal Effort, "&amp;ROUND(Q14, 2)&amp;" Avg. Calendar Months"</f>
        <v>#DIV/0!</v>
      </c>
      <c r="B14" s="47">
        <f>O14*J14</f>
        <v>0</v>
      </c>
      <c r="C14" s="47">
        <f>IF($J$5&gt;1,IF($U$2&lt;&gt;0,IF(O14*(1+$O$5)&lt;=$U$2,O14*K14*(1+$O$5),$U$2*K14),O14*K14*(1+$O$5)),0)</f>
        <v>0</v>
      </c>
      <c r="D14" s="47">
        <f>IF($J$5&gt;2,IF($U$2&lt;&gt;0,IF(O14*(1+$O$5)^2&lt;=$U$2,O14*L14*(1+$O$5)^2,$U$2*L14),O14*L14*(1+$O$5)^2),0)</f>
        <v>0</v>
      </c>
      <c r="E14" s="47">
        <f>IF($J$5&gt;3,IF($U$2&lt;&gt;0,IF(O14*(1+$O$5)^3&lt;=$U$2,O14*M14*(1+$O$5)^3,$U$2*M14),O14*M14*(1+$O$5)^3),0)</f>
        <v>0</v>
      </c>
      <c r="F14" s="47">
        <f>IF($J$5&gt;4,IF($U$2&lt;&gt;0,IF(O14*(1+$O$5)^4&lt;=$U$2,O14*N14*(1+$O$5)^4,$U$2*N14),O14*N14*(1+$O$5)^4),0)</f>
        <v>0</v>
      </c>
      <c r="G14" s="186">
        <f>SUM(B14:F14)</f>
        <v>0</v>
      </c>
      <c r="H14" s="193"/>
      <c r="I14" s="190" t="s">
        <v>26</v>
      </c>
      <c r="J14" s="265">
        <v>0</v>
      </c>
      <c r="K14" s="265">
        <f>IF($J$5&gt;1,J14,0)</f>
        <v>0</v>
      </c>
      <c r="L14" s="265">
        <f>IF($J$5&gt;2,K14,0)</f>
        <v>0</v>
      </c>
      <c r="M14" s="265">
        <f>IF($J$5&gt;3,L14,0)</f>
        <v>0</v>
      </c>
      <c r="N14" s="265">
        <f>IF($J$5&gt;4,M14,0)</f>
        <v>0</v>
      </c>
      <c r="O14" s="128">
        <f>IF(U17="F",IF($U$2&lt;&gt;0,IF(T17&gt;$U$2,$U$2,T17),T17),0)</f>
        <v>0</v>
      </c>
      <c r="P14" s="138" t="e">
        <f>SUM(J13:N13)/(ROUNDUP($J$5,0)*12)</f>
        <v>#DIV/0!</v>
      </c>
      <c r="Q14" s="137" t="e">
        <f>(SUM(J13:N13)/(CEILING($J$5*12,12)))*12</f>
        <v>#DIV/0!</v>
      </c>
      <c r="R14" s="12"/>
      <c r="S14" s="12"/>
      <c r="T14" s="191"/>
      <c r="U14" s="82"/>
      <c r="V14" s="82"/>
    </row>
    <row r="15" spans="1:23" outlineLevel="1" x14ac:dyDescent="0.25">
      <c r="A15" s="411" t="e">
        <f>ROUND(P14*100,2)&amp;"% Annualized Effort, "&amp;ROUND(Q15,2)&amp;" Avg. Academic Months
"&amp;IF(SUM(J16:N16)&gt;0," and "&amp;Q16 &amp;" Avg. Summer Months", "")</f>
        <v>#DIV/0!</v>
      </c>
      <c r="B15" s="47">
        <f>J15*O15</f>
        <v>0</v>
      </c>
      <c r="C15" s="47">
        <f>IF($J$5&gt;1,IF($U$2&lt;&gt;0,IF(O15*(1+$O$5)&lt;=$U$2*0.75,O15*K15*(1+$O$5),$U$2*0.75*K15),O15*K15*(1+$O$5)),0)</f>
        <v>0</v>
      </c>
      <c r="D15" s="47">
        <f>IF($J$5&gt;2,IF($U$2&lt;&gt;0,IF(O15*(1+$O$5)^2&lt;=$U$2*0.75,O15*L15*(1+$O$5)^2,$U$2*0.75*L15),O15*L15*(1+$O$5)^2),0)</f>
        <v>0</v>
      </c>
      <c r="E15" s="47">
        <f>IF($J$5&gt;3,IF($U$2&lt;&gt;0,IF(O15*(1+$O$5)^3&lt;=$U$2*0.75,O15*M15*(1+$O$5)^3,$U$2*0.75*M15),O15*M15*(1+$O$5)^3),0)</f>
        <v>0</v>
      </c>
      <c r="F15" s="47">
        <f>IF($J$5&gt;4,IF($U$2&lt;&gt;0,IF(O15*(1+$O$5)^4&lt;=$U$2*0.75,O15*N15*(1+$O$5)^4,$U$2*0.75*N15),O15*N15*(1+$O$5)^4),0)</f>
        <v>0</v>
      </c>
      <c r="G15" s="186">
        <f>SUM(B15:F15)</f>
        <v>0</v>
      </c>
      <c r="H15" s="193"/>
      <c r="I15" s="190" t="s">
        <v>15</v>
      </c>
      <c r="J15" s="265">
        <v>0</v>
      </c>
      <c r="K15" s="265">
        <f t="shared" ref="K15:K16" si="5">IF($J$5&gt;1,J15,0)</f>
        <v>0</v>
      </c>
      <c r="L15" s="265">
        <f t="shared" ref="L15:L16" si="6">IF($J$5&gt;2,K15,0)</f>
        <v>0</v>
      </c>
      <c r="M15" s="265">
        <f t="shared" ref="M15:M16" si="7">IF($J$5&gt;3,L15,0)</f>
        <v>0</v>
      </c>
      <c r="N15" s="265">
        <f t="shared" ref="N15:N16" si="8">IF($J$5&gt;4,M15,0)</f>
        <v>0</v>
      </c>
      <c r="O15" s="128">
        <f>IF(U17="A",IF($U$2&lt;&gt;0,IF(T17&gt;($U$2/12*9),($U$2/12*9),T17),T17),0)</f>
        <v>0</v>
      </c>
      <c r="P15" s="194"/>
      <c r="Q15" s="137" t="e">
        <f>((SUM(J13:N13)-SUM(J16:N16))/(CEILING($J$5*9,9)))*9</f>
        <v>#DIV/0!</v>
      </c>
      <c r="R15" s="12"/>
      <c r="S15" s="12"/>
      <c r="T15" s="191"/>
      <c r="U15" s="82"/>
      <c r="V15" s="82"/>
    </row>
    <row r="16" spans="1:23" outlineLevel="1" x14ac:dyDescent="0.25">
      <c r="A16" s="411"/>
      <c r="B16" s="47">
        <f>J16/3*O16</f>
        <v>0</v>
      </c>
      <c r="C16" s="47">
        <f>IF($J$5&gt;1,IF($U$2&lt;&gt;0,IF(O16*(1+$O$5)&lt;=$U$2*0.25,O16*K16/3*(1+$O$5),$U$2*0.25*K16/3),O16*K16/3*(1+$O$5)),0)</f>
        <v>0</v>
      </c>
      <c r="D16" s="47">
        <f>IF($J$5&gt;2,IF($U$2&lt;&gt;0,IF(O16*(1+$O$5)^2&lt;=$U$2*0.25,O16*L16/3*(1+$O$5)^2,$U$2*0.25*L16/3),O16*L16/3*(1+$O$5)^2),0)</f>
        <v>0</v>
      </c>
      <c r="E16" s="47">
        <f>IF($J$5&gt;3,IF($U$2&lt;&gt;0,IF(O16*(1+$O$5)^3&lt;=$U$2*0.25,O16*M16/3*(1+$O$5)^3,$U$2*0.25*M16/3),O16*M16/3*(1+$O$5)^3),0)</f>
        <v>0</v>
      </c>
      <c r="F16" s="47">
        <f>IF($J$5&gt;4,IF($U$2&lt;&gt;0,IF(O16*(1+$O$5)^4&lt;=$U$2*0.25,O16*N16/3*(1+$O$5)^4,$U$2*0.25*N16/3),O16*N16/3*(1+$O$5)^4),0)</f>
        <v>0</v>
      </c>
      <c r="G16" s="186">
        <f>SUM(B16:F16)</f>
        <v>0</v>
      </c>
      <c r="H16" s="193"/>
      <c r="I16" s="190" t="s">
        <v>17</v>
      </c>
      <c r="J16" s="266">
        <v>0</v>
      </c>
      <c r="K16" s="266">
        <f t="shared" si="5"/>
        <v>0</v>
      </c>
      <c r="L16" s="266">
        <f t="shared" si="6"/>
        <v>0</v>
      </c>
      <c r="M16" s="266">
        <f t="shared" si="7"/>
        <v>0</v>
      </c>
      <c r="N16" s="266">
        <f t="shared" si="8"/>
        <v>0</v>
      </c>
      <c r="O16" s="128">
        <f>IF(U17="A",IF($U$2&lt;&gt;0,IF(T17/9*3&gt;($U$2/12*3),($U$2/12*3),T17/9*3),T17/9*3),0)</f>
        <v>0</v>
      </c>
      <c r="P16" s="138"/>
      <c r="Q16" s="138" t="e">
        <f>((SUM(J13:N13)-SUM(J15:N15)*9)/(CEILING($J$5*3,3)))*3</f>
        <v>#DIV/0!</v>
      </c>
      <c r="R16" s="12"/>
      <c r="S16" s="12"/>
      <c r="T16" s="12"/>
      <c r="U16" s="82"/>
      <c r="V16" s="82"/>
    </row>
    <row r="17" spans="1:22" outlineLevel="1" x14ac:dyDescent="0.25">
      <c r="A17" s="195"/>
      <c r="B17" s="47"/>
      <c r="C17" s="47"/>
      <c r="D17" s="189"/>
      <c r="E17" s="189"/>
      <c r="F17" s="189"/>
      <c r="G17" s="196"/>
      <c r="H17" s="197"/>
      <c r="I17" s="190" t="s">
        <v>111</v>
      </c>
      <c r="J17" s="130">
        <f>SUM(B14:B16)*$V17</f>
        <v>0</v>
      </c>
      <c r="K17" s="130">
        <f t="shared" ref="K17:N17" si="9">SUM(C14:C16)*$V17</f>
        <v>0</v>
      </c>
      <c r="L17" s="130">
        <f t="shared" si="9"/>
        <v>0</v>
      </c>
      <c r="M17" s="130">
        <f t="shared" si="9"/>
        <v>0</v>
      </c>
      <c r="N17" s="130">
        <f t="shared" si="9"/>
        <v>0</v>
      </c>
      <c r="O17" s="129"/>
      <c r="P17" s="138"/>
      <c r="Q17" s="138"/>
      <c r="R17" s="12"/>
      <c r="S17" s="12"/>
      <c r="T17" s="327">
        <v>0</v>
      </c>
      <c r="U17" s="328"/>
      <c r="V17" s="198">
        <f>$J$79</f>
        <v>0</v>
      </c>
    </row>
    <row r="18" spans="1:22" outlineLevel="1" x14ac:dyDescent="0.25">
      <c r="A18" s="195"/>
      <c r="B18" s="47"/>
      <c r="C18" s="47"/>
      <c r="D18" s="189"/>
      <c r="E18" s="189"/>
      <c r="F18" s="189"/>
      <c r="G18" s="196"/>
      <c r="H18" s="197"/>
      <c r="I18" s="199"/>
      <c r="J18" s="79"/>
      <c r="K18" s="79"/>
      <c r="L18" s="79"/>
      <c r="M18" s="79"/>
      <c r="N18" s="79"/>
      <c r="O18" s="21"/>
      <c r="P18" s="138"/>
      <c r="Q18" s="138"/>
      <c r="R18" s="12"/>
      <c r="S18" s="12"/>
      <c r="T18" s="191"/>
      <c r="U18" s="82"/>
      <c r="V18" s="82"/>
    </row>
    <row r="19" spans="1:22" outlineLevel="1" x14ac:dyDescent="0.25">
      <c r="A19" s="188" t="s">
        <v>84</v>
      </c>
      <c r="B19" s="47"/>
      <c r="C19" s="189"/>
      <c r="D19" s="189"/>
      <c r="E19" s="189"/>
      <c r="F19" s="189"/>
      <c r="G19" s="186"/>
      <c r="I19" s="190" t="s">
        <v>132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1" t="s">
        <v>51</v>
      </c>
      <c r="P19" s="134" t="s">
        <v>130</v>
      </c>
      <c r="Q19" s="134" t="s">
        <v>131</v>
      </c>
      <c r="R19" s="11"/>
      <c r="S19" s="12"/>
      <c r="T19" s="191"/>
      <c r="U19" s="82"/>
      <c r="V19" s="82"/>
    </row>
    <row r="20" spans="1:22" outlineLevel="1" x14ac:dyDescent="0.25">
      <c r="A20" s="192" t="e">
        <f>ROUND(P20*100, 2)&amp;"% Avg. Fiscal Effort, "&amp;ROUND(Q20, 2)&amp;" Avg. Calendar Months"</f>
        <v>#DIV/0!</v>
      </c>
      <c r="B20" s="47">
        <f>O20*J20</f>
        <v>0</v>
      </c>
      <c r="C20" s="47">
        <f>IF($J$5&gt;1,IF($U$2&lt;&gt;0,IF(O20*(1+$O$5)&lt;=$U$2,O20*K20*(1+$O$5),$U$2*K20),O20*K20*(1+$O$5)),0)</f>
        <v>0</v>
      </c>
      <c r="D20" s="47">
        <f>IF($J$5&gt;2,IF($U$2&lt;&gt;0,IF(O20*(1+$O$5)^2&lt;=$U$2,O20*L20*(1+$O$5)^2,$U$2*L20),O20*L20*(1+$O$5)^2),0)</f>
        <v>0</v>
      </c>
      <c r="E20" s="47">
        <f>IF($J$5&gt;3,IF($U$2&lt;&gt;0,IF(O20*(1+$O$5)^3&lt;=$U$2,O20*M20*(1+$O$5)^3,$U$2*M20),O20*M20*(1+$O$5)^3),0)</f>
        <v>0</v>
      </c>
      <c r="F20" s="47">
        <f>IF($J$5&gt;4,IF($U$2&lt;&gt;0,IF(O20*(1+$O$5)^4&lt;=$U$2,O20*N20*(1+$O$5)^4,$U$2*N20),O20*N20*(1+$O$5)^4),0)</f>
        <v>0</v>
      </c>
      <c r="G20" s="186">
        <f>SUM(B20:F20)</f>
        <v>0</v>
      </c>
      <c r="H20" s="193"/>
      <c r="I20" s="190" t="s">
        <v>26</v>
      </c>
      <c r="J20" s="265">
        <v>0</v>
      </c>
      <c r="K20" s="265">
        <f>IF($J$5&gt;1,J20,0)</f>
        <v>0</v>
      </c>
      <c r="L20" s="265">
        <f>IF($J$5&gt;2,K20,0)</f>
        <v>0</v>
      </c>
      <c r="M20" s="265">
        <f>IF($J$5&gt;3,L20,0)</f>
        <v>0</v>
      </c>
      <c r="N20" s="265">
        <f>IF($J$5&gt;4,M20,0)</f>
        <v>0</v>
      </c>
      <c r="O20" s="128">
        <f>IF(U23="F",IF($U$2&lt;&gt;0,IF(T23&gt;$U$2,$U$2,T23),T23),0)</f>
        <v>0</v>
      </c>
      <c r="P20" s="138" t="e">
        <f>SUM(J19:N19)/(ROUNDUP($J$5,0)*12)</f>
        <v>#DIV/0!</v>
      </c>
      <c r="Q20" s="137" t="e">
        <f>(SUM(J19:N19)/(CEILING($J$5*12,12)))*12</f>
        <v>#DIV/0!</v>
      </c>
      <c r="R20" s="12"/>
      <c r="S20" s="12"/>
      <c r="T20" s="191"/>
      <c r="U20" s="82"/>
      <c r="V20" s="82"/>
    </row>
    <row r="21" spans="1:22" outlineLevel="1" x14ac:dyDescent="0.25">
      <c r="A21" s="411" t="e">
        <f>ROUND(P20*100,2)&amp;"% Annualized Effort, "&amp;ROUND(Q21,2)&amp;" Avg. Academic Months
"&amp;IF(SUM(J22:N22)&gt;0," and "&amp;Q22 &amp;" Avg. Summer Months", "")</f>
        <v>#DIV/0!</v>
      </c>
      <c r="B21" s="47">
        <f>J21*O21</f>
        <v>0</v>
      </c>
      <c r="C21" s="47">
        <f>IF($J$5&gt;1,IF($U$2&lt;&gt;0,IF(O21*(1+$O$5)&lt;=$U$2*0.75,O21*K21*(1+$O$5),$U$2*0.75*K21),O21*K21*(1+$O$5)),0)</f>
        <v>0</v>
      </c>
      <c r="D21" s="47">
        <f>IF($J$5&gt;2,IF($U$2&lt;&gt;0,IF(O21*(1+$O$5)^2&lt;=$U$2*0.75,O21*L21*(1+$O$5)^2,$U$2*0.75*L21),O21*L21*(1+$O$5)^2),0)</f>
        <v>0</v>
      </c>
      <c r="E21" s="47">
        <f>IF($J$5&gt;3,IF($U$2&lt;&gt;0,IF(O21*(1+$O$5)^3&lt;=$U$2*0.75,O21*M21*(1+$O$5)^3,$U$2*0.75*M21),O21*M21*(1+$O$5)^3),0)</f>
        <v>0</v>
      </c>
      <c r="F21" s="47">
        <f>IF($J$5&gt;4,IF($U$2&lt;&gt;0,IF(O21*(1+$O$5)^4&lt;=$U$2*0.75,O21*N21*(1+$O$5)^4,$U$2*0.75*N21),O21*N21*(1+$O$5)^4),0)</f>
        <v>0</v>
      </c>
      <c r="G21" s="186">
        <f>SUM(B21:F21)</f>
        <v>0</v>
      </c>
      <c r="H21" s="193"/>
      <c r="I21" s="190" t="s">
        <v>15</v>
      </c>
      <c r="J21" s="265">
        <v>0</v>
      </c>
      <c r="K21" s="265">
        <f t="shared" ref="K21:K22" si="10">IF($J$5&gt;1,J21,0)</f>
        <v>0</v>
      </c>
      <c r="L21" s="265">
        <f t="shared" ref="L21:L22" si="11">IF($J$5&gt;2,K21,0)</f>
        <v>0</v>
      </c>
      <c r="M21" s="265">
        <f t="shared" ref="M21:M22" si="12">IF($J$5&gt;3,L21,0)</f>
        <v>0</v>
      </c>
      <c r="N21" s="265">
        <f t="shared" ref="N21:N22" si="13">IF($J$5&gt;4,M21,0)</f>
        <v>0</v>
      </c>
      <c r="O21" s="128">
        <f>IF(U23="A",IF($U$2&lt;&gt;0,IF(T23&gt;($U$2/12*9),($U$2/12*9),T23),T23),0)</f>
        <v>0</v>
      </c>
      <c r="P21" s="194"/>
      <c r="Q21" s="137" t="e">
        <f>((SUM(J19:N19)-SUM(J22:N22))/(CEILING($J$5*9,9)))*9</f>
        <v>#DIV/0!</v>
      </c>
      <c r="R21" s="12"/>
      <c r="S21" s="12"/>
      <c r="T21" s="191"/>
      <c r="U21" s="82"/>
      <c r="V21" s="82"/>
    </row>
    <row r="22" spans="1:22" outlineLevel="1" x14ac:dyDescent="0.25">
      <c r="A22" s="411"/>
      <c r="B22" s="47">
        <f>J22/3*O22</f>
        <v>0</v>
      </c>
      <c r="C22" s="47">
        <f>IF($J$5&gt;1,IF($U$2&lt;&gt;0,IF(O22*(1+$O$5)&lt;=$U$2*0.25,O22*K22/3*(1+$O$5),$U$2*0.25*K22/3),O22*K22/3*(1+$O$5)),0)</f>
        <v>0</v>
      </c>
      <c r="D22" s="47">
        <f>IF($J$5&gt;2,IF($U$2&lt;&gt;0,IF(O22*(1+$O$5)^2&lt;=$U$2*0.25,O22*L22/3*(1+$O$5)^2,$U$2*0.25*L22/3),O22*L22/3*(1+$O$5)^2),0)</f>
        <v>0</v>
      </c>
      <c r="E22" s="47">
        <f>IF($J$5&gt;3,IF($U$2&lt;&gt;0,IF(O22*(1+$O$5)^3&lt;=$U$2*0.25,O22*M22/3*(1+$O$5)^3,$U$2*0.25*M22/3),O22*M22/3*(1+$O$5)^3),0)</f>
        <v>0</v>
      </c>
      <c r="F22" s="47">
        <f>IF($J$5&gt;4,IF($U$2&lt;&gt;0,IF(O22*(1+$O$5)^4&lt;=$U$2*0.25,O22*N22/3*(1+$O$5)^4,$U$2*0.25*N22/3),O22*N22/3*(1+$O$5)^4),0)</f>
        <v>0</v>
      </c>
      <c r="G22" s="186">
        <f>SUM(B22:F22)</f>
        <v>0</v>
      </c>
      <c r="H22" s="193"/>
      <c r="I22" s="190" t="s">
        <v>17</v>
      </c>
      <c r="J22" s="266">
        <v>0</v>
      </c>
      <c r="K22" s="266">
        <f t="shared" si="10"/>
        <v>0</v>
      </c>
      <c r="L22" s="266">
        <f t="shared" si="11"/>
        <v>0</v>
      </c>
      <c r="M22" s="266">
        <f t="shared" si="12"/>
        <v>0</v>
      </c>
      <c r="N22" s="266">
        <f t="shared" si="13"/>
        <v>0</v>
      </c>
      <c r="O22" s="128">
        <f>IF(U23="A",IF($U$2&lt;&gt;0,IF(T23/9*3&gt;($U$2/12*3),($U$2/12*3),T23/9*3),T23/9*3),0)</f>
        <v>0</v>
      </c>
      <c r="P22" s="138"/>
      <c r="Q22" s="138" t="e">
        <f>((SUM(J19:N19)-SUM(J21:N21)*9)/(CEILING($J$5*3,3)))*3</f>
        <v>#DIV/0!</v>
      </c>
      <c r="R22" s="12"/>
      <c r="S22" s="12"/>
      <c r="T22" s="12"/>
      <c r="U22" s="82"/>
      <c r="V22" s="82"/>
    </row>
    <row r="23" spans="1:22" outlineLevel="1" x14ac:dyDescent="0.25">
      <c r="A23" s="195"/>
      <c r="B23" s="47"/>
      <c r="C23" s="47"/>
      <c r="D23" s="189"/>
      <c r="E23" s="189"/>
      <c r="F23" s="189"/>
      <c r="G23" s="196"/>
      <c r="H23" s="197"/>
      <c r="I23" s="190" t="s">
        <v>111</v>
      </c>
      <c r="J23" s="130">
        <f>SUM(B20:B22)*$V23</f>
        <v>0</v>
      </c>
      <c r="K23" s="130">
        <f t="shared" ref="K23:N23" si="14">SUM(C20:C22)*$V23</f>
        <v>0</v>
      </c>
      <c r="L23" s="130">
        <f t="shared" si="14"/>
        <v>0</v>
      </c>
      <c r="M23" s="130">
        <f t="shared" si="14"/>
        <v>0</v>
      </c>
      <c r="N23" s="130">
        <f t="shared" si="14"/>
        <v>0</v>
      </c>
      <c r="O23" s="129"/>
      <c r="P23" s="138"/>
      <c r="Q23" s="138"/>
      <c r="R23" s="12"/>
      <c r="S23" s="12"/>
      <c r="T23" s="327">
        <v>0</v>
      </c>
      <c r="U23" s="328"/>
      <c r="V23" s="198">
        <f>$J$79</f>
        <v>0</v>
      </c>
    </row>
    <row r="24" spans="1:22" outlineLevel="1" x14ac:dyDescent="0.25">
      <c r="A24" s="195"/>
      <c r="B24" s="47"/>
      <c r="C24" s="47"/>
      <c r="D24" s="189"/>
      <c r="E24" s="189"/>
      <c r="F24" s="189"/>
      <c r="G24" s="196"/>
      <c r="H24" s="197"/>
      <c r="I24" s="199"/>
      <c r="J24" s="79"/>
      <c r="K24" s="79"/>
      <c r="L24" s="79"/>
      <c r="M24" s="79"/>
      <c r="N24" s="79"/>
      <c r="O24" s="21"/>
      <c r="P24" s="138"/>
      <c r="Q24" s="138"/>
      <c r="R24" s="12"/>
      <c r="S24" s="12"/>
      <c r="T24" s="191"/>
      <c r="U24" s="82"/>
      <c r="V24" s="82"/>
    </row>
    <row r="25" spans="1:22" outlineLevel="1" x14ac:dyDescent="0.25">
      <c r="A25" s="188" t="s">
        <v>84</v>
      </c>
      <c r="B25" s="47"/>
      <c r="C25" s="189"/>
      <c r="D25" s="189"/>
      <c r="E25" s="189"/>
      <c r="F25" s="189"/>
      <c r="G25" s="186"/>
      <c r="I25" s="190" t="s">
        <v>132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1" t="s">
        <v>51</v>
      </c>
      <c r="P25" s="134" t="s">
        <v>130</v>
      </c>
      <c r="Q25" s="134" t="s">
        <v>131</v>
      </c>
      <c r="R25" s="11"/>
      <c r="S25" s="12"/>
      <c r="T25" s="191"/>
      <c r="U25" s="82"/>
      <c r="V25" s="82"/>
    </row>
    <row r="26" spans="1:22" outlineLevel="1" x14ac:dyDescent="0.25">
      <c r="A26" s="192" t="e">
        <f>ROUND(P26*100, 2)&amp;"% Avg. Fiscal Effort, "&amp;ROUND(Q26, 2)&amp;" Avg. Calendar Months"</f>
        <v>#DIV/0!</v>
      </c>
      <c r="B26" s="47">
        <f>O26*J26</f>
        <v>0</v>
      </c>
      <c r="C26" s="47">
        <f>IF($J$5&gt;1,IF($U$2&lt;&gt;0,IF(O26*(1+$O$5)&lt;=$U$2,O26*K26*(1+$O$5),$U$2*K26),O26*K26*(1+$O$5)),0)</f>
        <v>0</v>
      </c>
      <c r="D26" s="47">
        <f>IF($J$5&gt;2,IF($U$2&lt;&gt;0,IF(O26*(1+$O$5)^2&lt;=$U$2,O26*L26*(1+$O$5)^2,$U$2*L26),O26*L26*(1+$O$5)^2),0)</f>
        <v>0</v>
      </c>
      <c r="E26" s="47">
        <f>IF($J$5&gt;3,IF($U$2&lt;&gt;0,IF(O26*(1+$O$5)^3&lt;=$U$2,O26*M26*(1+$O$5)^3,$U$2*M26),O26*M26*(1+$O$5)^3),0)</f>
        <v>0</v>
      </c>
      <c r="F26" s="47">
        <f>IF($J$5&gt;4,IF($U$2&lt;&gt;0,IF(O26*(1+$O$5)^4&lt;=$U$2,O26*N26*(1+$O$5)^4,$U$2*N26),O26*N26*(1+$O$5)^4),0)</f>
        <v>0</v>
      </c>
      <c r="G26" s="186">
        <f>SUM(B26:F26)</f>
        <v>0</v>
      </c>
      <c r="H26" s="193"/>
      <c r="I26" s="190" t="s">
        <v>26</v>
      </c>
      <c r="J26" s="265">
        <v>0</v>
      </c>
      <c r="K26" s="265">
        <f>IF($J$5&gt;1,J26,0)</f>
        <v>0</v>
      </c>
      <c r="L26" s="265">
        <f>IF($J$5&gt;2,K26,0)</f>
        <v>0</v>
      </c>
      <c r="M26" s="265">
        <f>IF($J$5&gt;3,L26,0)</f>
        <v>0</v>
      </c>
      <c r="N26" s="265">
        <f>IF($J$5&gt;4,M26,0)</f>
        <v>0</v>
      </c>
      <c r="O26" s="128">
        <f>IF(U29="F",IF($U$2&lt;&gt;0,IF(T29&gt;$U$2,$U$2,T29),T29),0)</f>
        <v>0</v>
      </c>
      <c r="P26" s="138" t="e">
        <f>SUM(J25:N25)/(ROUNDUP($J$5,0)*12)</f>
        <v>#DIV/0!</v>
      </c>
      <c r="Q26" s="137" t="e">
        <f>(SUM(J25:N25)/(CEILING($J$5*12,12)))*12</f>
        <v>#DIV/0!</v>
      </c>
      <c r="R26" s="12"/>
      <c r="S26" s="12"/>
      <c r="T26" s="191"/>
      <c r="U26" s="82"/>
      <c r="V26" s="82"/>
    </row>
    <row r="27" spans="1:22" outlineLevel="1" x14ac:dyDescent="0.25">
      <c r="A27" s="411" t="e">
        <f>ROUND(P26*100,2)&amp;"% Annualized Effort, "&amp;ROUND(Q27,2)&amp;" Avg. Academic Months
"&amp;IF(SUM(J28:N28)&gt;0," and "&amp;Q28 &amp;" Avg. Summer Months", "")</f>
        <v>#DIV/0!</v>
      </c>
      <c r="B27" s="47">
        <f>J27*O27</f>
        <v>0</v>
      </c>
      <c r="C27" s="47">
        <f>IF($J$5&gt;1,IF($U$2&lt;&gt;0,IF(O27*(1+$O$5)&lt;=$U$2*0.75,O27*K27*(1+$O$5),$U$2*0.75*K27),O27*K27*(1+$O$5)),0)</f>
        <v>0</v>
      </c>
      <c r="D27" s="47">
        <f>IF($J$5&gt;2,IF($U$2&lt;&gt;0,IF(O27*(1+$O$5)^2&lt;=$U$2*0.75,O27*L27*(1+$O$5)^2,$U$2*0.75*L27),O27*L27*(1+$O$5)^2),0)</f>
        <v>0</v>
      </c>
      <c r="E27" s="47">
        <f>IF($J$5&gt;3,IF($U$2&lt;&gt;0,IF(O27*(1+$O$5)^3&lt;=$U$2*0.75,O27*M27*(1+$O$5)^3,$U$2*0.75*M27),O27*M27*(1+$O$5)^3),0)</f>
        <v>0</v>
      </c>
      <c r="F27" s="47">
        <f>IF($J$5&gt;4,IF($U$2&lt;&gt;0,IF(O27*(1+$O$5)^4&lt;=$U$2*0.75,O27*N27*(1+$O$5)^4,$U$2*0.75*N27),O27*N27*(1+$O$5)^4),0)</f>
        <v>0</v>
      </c>
      <c r="G27" s="186">
        <f>SUM(B27:F27)</f>
        <v>0</v>
      </c>
      <c r="H27" s="193"/>
      <c r="I27" s="190" t="s">
        <v>15</v>
      </c>
      <c r="J27" s="265">
        <v>0</v>
      </c>
      <c r="K27" s="265">
        <f t="shared" ref="K27:K28" si="15">IF($J$5&gt;1,J27,0)</f>
        <v>0</v>
      </c>
      <c r="L27" s="265">
        <f t="shared" ref="L27:L28" si="16">IF($J$5&gt;2,K27,0)</f>
        <v>0</v>
      </c>
      <c r="M27" s="265">
        <f t="shared" ref="M27:M28" si="17">IF($J$5&gt;3,L27,0)</f>
        <v>0</v>
      </c>
      <c r="N27" s="265">
        <f t="shared" ref="N27:N28" si="18">IF($J$5&gt;4,M27,0)</f>
        <v>0</v>
      </c>
      <c r="O27" s="128">
        <f>IF(U29="A",IF($U$2&lt;&gt;0,IF(T29&gt;($U$2/12*9),($U$2/12*9),T29),T29),0)</f>
        <v>0</v>
      </c>
      <c r="P27" s="194"/>
      <c r="Q27" s="137" t="e">
        <f>((SUM(J25:N25)-SUM(J28:N28))/(CEILING($J$5*9,9)))*9</f>
        <v>#DIV/0!</v>
      </c>
      <c r="R27" s="12"/>
      <c r="S27" s="12"/>
      <c r="T27" s="191"/>
      <c r="U27" s="82"/>
      <c r="V27" s="82"/>
    </row>
    <row r="28" spans="1:22" outlineLevel="1" x14ac:dyDescent="0.25">
      <c r="A28" s="411"/>
      <c r="B28" s="47">
        <f>J28/3*O28</f>
        <v>0</v>
      </c>
      <c r="C28" s="47">
        <f>IF($J$5&gt;1,IF($U$2&lt;&gt;0,IF(O28*(1+$O$5)&lt;=$U$2*0.25,O28*K28/3*(1+$O$5),$U$2*0.25*K28/3),O28*K28/3*(1+$O$5)),0)</f>
        <v>0</v>
      </c>
      <c r="D28" s="47">
        <f>IF($J$5&gt;2,IF($U$2&lt;&gt;0,IF(O28*(1+$O$5)^2&lt;=$U$2*0.25,O28*L28/3*(1+$O$5)^2,$U$2*0.25*L28/3),O28*L28/3*(1+$O$5)^2),0)</f>
        <v>0</v>
      </c>
      <c r="E28" s="47">
        <f>IF($J$5&gt;3,IF($U$2&lt;&gt;0,IF(O28*(1+$O$5)^3&lt;=$U$2*0.25,O28*M28/3*(1+$O$5)^3,$U$2*0.25*M28/3),O28*M28/3*(1+$O$5)^3),0)</f>
        <v>0</v>
      </c>
      <c r="F28" s="47">
        <f>IF($J$5&gt;4,IF($U$2&lt;&gt;0,IF(O28*(1+$O$5)^4&lt;=$U$2*0.25,O28*N28/3*(1+$O$5)^4,$U$2*0.25*N28/3),O28*N28/3*(1+$O$5)^4),0)</f>
        <v>0</v>
      </c>
      <c r="G28" s="186">
        <f>SUM(B28:F28)</f>
        <v>0</v>
      </c>
      <c r="H28" s="193"/>
      <c r="I28" s="190" t="s">
        <v>17</v>
      </c>
      <c r="J28" s="266">
        <v>0</v>
      </c>
      <c r="K28" s="266">
        <f t="shared" si="15"/>
        <v>0</v>
      </c>
      <c r="L28" s="266">
        <f t="shared" si="16"/>
        <v>0</v>
      </c>
      <c r="M28" s="266">
        <f t="shared" si="17"/>
        <v>0</v>
      </c>
      <c r="N28" s="266">
        <f t="shared" si="18"/>
        <v>0</v>
      </c>
      <c r="O28" s="128">
        <f>IF(U29="A",IF($U$2&lt;&gt;0,IF(T29/9*3&gt;($U$2/12*3),($U$2/12*3),T29/9*3),T29/9*3),0)</f>
        <v>0</v>
      </c>
      <c r="P28" s="138"/>
      <c r="Q28" s="138" t="e">
        <f>((SUM(J25:N25)-SUM(J27:N27)*9)/(CEILING($J$5*3,3)))*3</f>
        <v>#DIV/0!</v>
      </c>
      <c r="R28" s="12"/>
      <c r="S28" s="12"/>
      <c r="T28" s="12"/>
      <c r="U28" s="82"/>
      <c r="V28" s="82"/>
    </row>
    <row r="29" spans="1:22" outlineLevel="1" x14ac:dyDescent="0.25">
      <c r="A29" s="195"/>
      <c r="B29" s="47"/>
      <c r="C29" s="47"/>
      <c r="D29" s="189"/>
      <c r="E29" s="189"/>
      <c r="F29" s="189"/>
      <c r="G29" s="196"/>
      <c r="H29" s="197"/>
      <c r="I29" s="190" t="s">
        <v>111</v>
      </c>
      <c r="J29" s="130">
        <f>SUM(B26:B28)*$V29</f>
        <v>0</v>
      </c>
      <c r="K29" s="130">
        <f t="shared" ref="K29:N29" si="19">SUM(C26:C28)*$V29</f>
        <v>0</v>
      </c>
      <c r="L29" s="130">
        <f t="shared" si="19"/>
        <v>0</v>
      </c>
      <c r="M29" s="130">
        <f t="shared" si="19"/>
        <v>0</v>
      </c>
      <c r="N29" s="130">
        <f t="shared" si="19"/>
        <v>0</v>
      </c>
      <c r="O29" s="129"/>
      <c r="P29" s="138"/>
      <c r="Q29" s="138"/>
      <c r="R29" s="12"/>
      <c r="S29" s="12"/>
      <c r="T29" s="327">
        <v>0</v>
      </c>
      <c r="U29" s="328"/>
      <c r="V29" s="198">
        <f>$J$79</f>
        <v>0</v>
      </c>
    </row>
    <row r="30" spans="1:22" outlineLevel="1" x14ac:dyDescent="0.25">
      <c r="A30" s="195"/>
      <c r="B30" s="47"/>
      <c r="C30" s="47"/>
      <c r="D30" s="189"/>
      <c r="E30" s="189"/>
      <c r="F30" s="189"/>
      <c r="G30" s="196"/>
      <c r="H30" s="197"/>
      <c r="I30" s="199"/>
      <c r="J30" s="79"/>
      <c r="K30" s="79"/>
      <c r="L30" s="79"/>
      <c r="M30" s="79"/>
      <c r="N30" s="79"/>
      <c r="O30" s="21"/>
      <c r="P30" s="138"/>
      <c r="Q30" s="138"/>
      <c r="R30" s="12"/>
      <c r="S30" s="12"/>
      <c r="T30" s="191"/>
      <c r="U30" s="82"/>
      <c r="V30" s="82"/>
    </row>
    <row r="31" spans="1:22" outlineLevel="1" x14ac:dyDescent="0.25">
      <c r="A31" s="188" t="s">
        <v>84</v>
      </c>
      <c r="B31" s="47"/>
      <c r="C31" s="189"/>
      <c r="D31" s="189"/>
      <c r="E31" s="189"/>
      <c r="F31" s="189"/>
      <c r="G31" s="186"/>
      <c r="I31" s="190" t="s">
        <v>132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1" t="s">
        <v>51</v>
      </c>
      <c r="P31" s="134" t="s">
        <v>130</v>
      </c>
      <c r="Q31" s="134" t="s">
        <v>131</v>
      </c>
      <c r="R31" s="11"/>
      <c r="S31" s="12"/>
      <c r="T31" s="191"/>
      <c r="U31" s="82"/>
      <c r="V31" s="82"/>
    </row>
    <row r="32" spans="1:22" outlineLevel="1" x14ac:dyDescent="0.25">
      <c r="A32" s="192" t="e">
        <f>ROUND(P32*100, 2)&amp;"% Avg. Fiscal Effort, "&amp;ROUND(Q32, 2)&amp;" Avg. Calendar Months"</f>
        <v>#DIV/0!</v>
      </c>
      <c r="B32" s="47">
        <f>O32*J32</f>
        <v>0</v>
      </c>
      <c r="C32" s="47">
        <f>IF($J$5&gt;1,IF($U$2&lt;&gt;0,IF(O32*(1+$O$5)&lt;=$U$2,O32*K32*(1+$O$5),$U$2*K32),O32*K32*(1+$O$5)),0)</f>
        <v>0</v>
      </c>
      <c r="D32" s="47">
        <f>IF($J$5&gt;2,IF($U$2&lt;&gt;0,IF(O32*(1+$O$5)^2&lt;=$U$2,O32*L32*(1+$O$5)^2,$U$2*L32),O32*L32*(1+$O$5)^2),0)</f>
        <v>0</v>
      </c>
      <c r="E32" s="47">
        <f>IF($J$5&gt;3,IF($U$2&lt;&gt;0,IF(O32*(1+$O$5)^3&lt;=$U$2,O32*M32*(1+$O$5)^3,$U$2*M32),O32*M32*(1+$O$5)^3),0)</f>
        <v>0</v>
      </c>
      <c r="F32" s="47">
        <f>IF($J$5&gt;4,IF($U$2&lt;&gt;0,IF(O32*(1+$O$5)^4&lt;=$U$2,O32*N32*(1+$O$5)^4,$U$2*N32),O32*N32*(1+$O$5)^4),0)</f>
        <v>0</v>
      </c>
      <c r="G32" s="186">
        <f>SUM(B32:F32)</f>
        <v>0</v>
      </c>
      <c r="H32" s="193"/>
      <c r="I32" s="190" t="s">
        <v>26</v>
      </c>
      <c r="J32" s="265">
        <v>0</v>
      </c>
      <c r="K32" s="265">
        <f>IF($J$5&gt;1,J32,0)</f>
        <v>0</v>
      </c>
      <c r="L32" s="265">
        <f>IF($J$5&gt;2,K32,0)</f>
        <v>0</v>
      </c>
      <c r="M32" s="265">
        <f>IF($J$5&gt;3,L32,0)</f>
        <v>0</v>
      </c>
      <c r="N32" s="265">
        <f>IF($J$5&gt;4,M32,0)</f>
        <v>0</v>
      </c>
      <c r="O32" s="128">
        <f>IF(U35="F",IF($U$2&lt;&gt;0,IF(T35&gt;$U$2,$U$2,T35),T35),0)</f>
        <v>0</v>
      </c>
      <c r="P32" s="138" t="e">
        <f>SUM(J31:N31)/(ROUNDUP($J$5,0)*12)</f>
        <v>#DIV/0!</v>
      </c>
      <c r="Q32" s="137" t="e">
        <f>(SUM(J31:N31)/(CEILING($J$5*12,12)))*12</f>
        <v>#DIV/0!</v>
      </c>
      <c r="R32" s="12"/>
      <c r="S32" s="12"/>
      <c r="T32" s="191"/>
      <c r="U32" s="82"/>
      <c r="V32" s="82"/>
    </row>
    <row r="33" spans="1:22" outlineLevel="1" x14ac:dyDescent="0.25">
      <c r="A33" s="411" t="e">
        <f>ROUND(P32*100,2)&amp;"% Annualized Effort, "&amp;ROUND(Q33,2)&amp;" Avg. Academic Months
"&amp;IF(SUM(J34:N34)&gt;0," and "&amp;Q34 &amp;" Avg. Summer Months", "")</f>
        <v>#DIV/0!</v>
      </c>
      <c r="B33" s="47">
        <f>J33*O33</f>
        <v>0</v>
      </c>
      <c r="C33" s="47">
        <f>IF($J$5&gt;1,IF($U$2&lt;&gt;0,IF(O33*(1+$O$5)&lt;=$U$2*0.75,O33*K33*(1+$O$5),$U$2*0.75*K33),O33*K33*(1+$O$5)),0)</f>
        <v>0</v>
      </c>
      <c r="D33" s="47">
        <f>IF($J$5&gt;2,IF($U$2&lt;&gt;0,IF(O33*(1+$O$5)^2&lt;=$U$2*0.75,O33*L33*(1+$O$5)^2,$U$2*0.75*L33),O33*L33*(1+$O$5)^2),0)</f>
        <v>0</v>
      </c>
      <c r="E33" s="47">
        <f>IF($J$5&gt;3,IF($U$2&lt;&gt;0,IF(O33*(1+$O$5)^3&lt;=$U$2*0.75,O33*M33*(1+$O$5)^3,$U$2*0.75*M33),O33*M33*(1+$O$5)^3),0)</f>
        <v>0</v>
      </c>
      <c r="F33" s="47">
        <f>IF($J$5&gt;4,IF($U$2&lt;&gt;0,IF(O33*(1+$O$5)^4&lt;=$U$2*0.75,O33*N33*(1+$O$5)^4,$U$2*0.75*N33),O33*N33*(1+$O$5)^4),0)</f>
        <v>0</v>
      </c>
      <c r="G33" s="186">
        <f>SUM(B33:F33)</f>
        <v>0</v>
      </c>
      <c r="H33" s="193"/>
      <c r="I33" s="190" t="s">
        <v>15</v>
      </c>
      <c r="J33" s="265">
        <v>0</v>
      </c>
      <c r="K33" s="265">
        <f t="shared" ref="K33:K34" si="20">IF($J$5&gt;1,J33,0)</f>
        <v>0</v>
      </c>
      <c r="L33" s="265">
        <f t="shared" ref="L33:L34" si="21">IF($J$5&gt;2,K33,0)</f>
        <v>0</v>
      </c>
      <c r="M33" s="265">
        <f t="shared" ref="M33:M34" si="22">IF($J$5&gt;3,L33,0)</f>
        <v>0</v>
      </c>
      <c r="N33" s="265">
        <f t="shared" ref="N33:N34" si="23">IF($J$5&gt;4,M33,0)</f>
        <v>0</v>
      </c>
      <c r="O33" s="128">
        <f>IF(U35="A",IF($U$2&lt;&gt;0,IF(T35&gt;($U$2/12*9),($U$2/12*9),T35),T35),0)</f>
        <v>0</v>
      </c>
      <c r="P33" s="194"/>
      <c r="Q33" s="137" t="e">
        <f>((SUM(J31:N31)-SUM(J34:N34))/(CEILING($J$5*9,9)))*9</f>
        <v>#DIV/0!</v>
      </c>
      <c r="R33" s="12"/>
      <c r="S33" s="12"/>
      <c r="T33" s="191"/>
      <c r="U33" s="82"/>
      <c r="V33" s="82"/>
    </row>
    <row r="34" spans="1:22" outlineLevel="1" x14ac:dyDescent="0.25">
      <c r="A34" s="411"/>
      <c r="B34" s="47">
        <f>J34/3*O34</f>
        <v>0</v>
      </c>
      <c r="C34" s="47">
        <f>IF($J$5&gt;1,IF($U$2&lt;&gt;0,IF(O34*(1+$O$5)&lt;=$U$2*0.25,O34*K34/3*(1+$O$5),$U$2*0.25*K34/3),O34*K34/3*(1+$O$5)),0)</f>
        <v>0</v>
      </c>
      <c r="D34" s="47">
        <f>IF($J$5&gt;2,IF($U$2&lt;&gt;0,IF(O34*(1+$O$5)^2&lt;=$U$2*0.25,O34*L34/3*(1+$O$5)^2,$U$2*0.25*L34/3),O34*L34/3*(1+$O$5)^2),0)</f>
        <v>0</v>
      </c>
      <c r="E34" s="47">
        <f>IF($J$5&gt;3,IF($U$2&lt;&gt;0,IF(O34*(1+$O$5)^3&lt;=$U$2*0.25,O34*M34/3*(1+$O$5)^3,$U$2*0.25*M34/3),O34*M34/3*(1+$O$5)^3),0)</f>
        <v>0</v>
      </c>
      <c r="F34" s="47">
        <f>IF($J$5&gt;4,IF($U$2&lt;&gt;0,IF(O34*(1+$O$5)^4&lt;=$U$2*0.25,O34*N34/3*(1+$O$5)^4,$U$2*0.25*N34/3),O34*N34/3*(1+$O$5)^4),0)</f>
        <v>0</v>
      </c>
      <c r="G34" s="186">
        <f>SUM(B34:F34)</f>
        <v>0</v>
      </c>
      <c r="H34" s="193"/>
      <c r="I34" s="190" t="s">
        <v>17</v>
      </c>
      <c r="J34" s="266">
        <v>0</v>
      </c>
      <c r="K34" s="266">
        <f t="shared" si="20"/>
        <v>0</v>
      </c>
      <c r="L34" s="266">
        <f t="shared" si="21"/>
        <v>0</v>
      </c>
      <c r="M34" s="266">
        <f t="shared" si="22"/>
        <v>0</v>
      </c>
      <c r="N34" s="266">
        <f t="shared" si="23"/>
        <v>0</v>
      </c>
      <c r="O34" s="128">
        <f>IF(U35="A",IF($U$2&lt;&gt;0,IF(T35/9*3&gt;($U$2/12*3),($U$2/12*3),T35/9*3),T35/9*3),0)</f>
        <v>0</v>
      </c>
      <c r="P34" s="138"/>
      <c r="Q34" s="138" t="e">
        <f>((SUM(J31:N31)-SUM(J33:N33)*9)/(CEILING($J$5*3,3)))*3</f>
        <v>#DIV/0!</v>
      </c>
      <c r="R34" s="12"/>
      <c r="S34" s="12"/>
      <c r="T34" s="12"/>
      <c r="U34" s="82"/>
      <c r="V34" s="82"/>
    </row>
    <row r="35" spans="1:22" outlineLevel="1" x14ac:dyDescent="0.25">
      <c r="A35" s="195"/>
      <c r="B35" s="47"/>
      <c r="C35" s="47"/>
      <c r="D35" s="189"/>
      <c r="E35" s="189"/>
      <c r="F35" s="189"/>
      <c r="G35" s="196"/>
      <c r="H35" s="197"/>
      <c r="I35" s="190" t="s">
        <v>111</v>
      </c>
      <c r="J35" s="130">
        <f>SUM(B32:B34)*$V35</f>
        <v>0</v>
      </c>
      <c r="K35" s="130">
        <f t="shared" ref="K35:N35" si="24">SUM(C32:C34)*$V35</f>
        <v>0</v>
      </c>
      <c r="L35" s="130">
        <f t="shared" si="24"/>
        <v>0</v>
      </c>
      <c r="M35" s="130">
        <f t="shared" si="24"/>
        <v>0</v>
      </c>
      <c r="N35" s="130">
        <f t="shared" si="24"/>
        <v>0</v>
      </c>
      <c r="O35" s="129"/>
      <c r="P35" s="138"/>
      <c r="Q35" s="138"/>
      <c r="R35" s="12"/>
      <c r="S35" s="12"/>
      <c r="T35" s="327">
        <v>0</v>
      </c>
      <c r="U35" s="328"/>
      <c r="V35" s="198">
        <f>$J$79</f>
        <v>0</v>
      </c>
    </row>
    <row r="36" spans="1:22" outlineLevel="1" x14ac:dyDescent="0.25">
      <c r="A36" s="195"/>
      <c r="B36" s="47"/>
      <c r="C36" s="47"/>
      <c r="D36" s="189"/>
      <c r="E36" s="189"/>
      <c r="F36" s="189"/>
      <c r="G36" s="196"/>
      <c r="H36" s="197"/>
      <c r="I36" s="199"/>
      <c r="J36" s="79"/>
      <c r="K36" s="79"/>
      <c r="L36" s="79"/>
      <c r="M36" s="79"/>
      <c r="N36" s="79"/>
      <c r="O36" s="21"/>
      <c r="P36" s="138"/>
      <c r="Q36" s="138"/>
      <c r="R36" s="12"/>
      <c r="S36" s="12"/>
      <c r="T36" s="191"/>
      <c r="U36" s="82"/>
      <c r="V36" s="82"/>
    </row>
    <row r="37" spans="1:22" outlineLevel="1" x14ac:dyDescent="0.25">
      <c r="A37" s="188" t="s">
        <v>84</v>
      </c>
      <c r="B37" s="47"/>
      <c r="C37" s="189"/>
      <c r="D37" s="189"/>
      <c r="E37" s="189"/>
      <c r="F37" s="189"/>
      <c r="G37" s="186"/>
      <c r="I37" s="190" t="s">
        <v>132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1" t="s">
        <v>51</v>
      </c>
      <c r="P37" s="134" t="s">
        <v>130</v>
      </c>
      <c r="Q37" s="134" t="s">
        <v>131</v>
      </c>
      <c r="R37" s="11"/>
      <c r="S37" s="12"/>
      <c r="T37" s="191"/>
      <c r="U37" s="82"/>
      <c r="V37" s="82"/>
    </row>
    <row r="38" spans="1:22" outlineLevel="1" x14ac:dyDescent="0.25">
      <c r="A38" s="192" t="e">
        <f>ROUND(P38*100, 2)&amp;"% Avg. Fiscal Effort, "&amp;ROUND(Q38, 2)&amp;" Avg. Calendar Months"</f>
        <v>#DIV/0!</v>
      </c>
      <c r="B38" s="47">
        <f>O38*J38</f>
        <v>0</v>
      </c>
      <c r="C38" s="47">
        <f>IF($J$5&gt;1,IF($U$2&lt;&gt;0,IF(O38*(1+$O$5)&lt;=$U$2,O38*K38*(1+$O$5),$U$2*K38),O38*K38*(1+$O$5)),0)</f>
        <v>0</v>
      </c>
      <c r="D38" s="47">
        <f>IF($J$5&gt;2,IF($U$2&lt;&gt;0,IF(O38*(1+$O$5)^2&lt;=$U$2,O38*L38*(1+$O$5)^2,$U$2*L38),O38*L38*(1+$O$5)^2),0)</f>
        <v>0</v>
      </c>
      <c r="E38" s="47">
        <f>IF($J$5&gt;3,IF($U$2&lt;&gt;0,IF(O38*(1+$O$5)^3&lt;=$U$2,O38*M38*(1+$O$5)^3,$U$2*M38),O38*M38*(1+$O$5)^3),0)</f>
        <v>0</v>
      </c>
      <c r="F38" s="47">
        <f>IF($J$5&gt;4,IF($U$2&lt;&gt;0,IF(O38*(1+$O$5)^4&lt;=$U$2,O38*N38*(1+$O$5)^4,$U$2*N38),O38*N38*(1+$O$5)^4),0)</f>
        <v>0</v>
      </c>
      <c r="G38" s="186">
        <f>SUM(B38:F38)</f>
        <v>0</v>
      </c>
      <c r="H38" s="193"/>
      <c r="I38" s="190" t="s">
        <v>26</v>
      </c>
      <c r="J38" s="265">
        <v>0</v>
      </c>
      <c r="K38" s="265">
        <f>IF($J$5&gt;1,J38,0)</f>
        <v>0</v>
      </c>
      <c r="L38" s="265">
        <f>IF($J$5&gt;2,K38,0)</f>
        <v>0</v>
      </c>
      <c r="M38" s="265">
        <f>IF($J$5&gt;3,L38,0)</f>
        <v>0</v>
      </c>
      <c r="N38" s="265">
        <f>IF($J$5&gt;4,M38,0)</f>
        <v>0</v>
      </c>
      <c r="O38" s="128">
        <f>IF(U41="F",IF($U$2&lt;&gt;0,IF(T41&gt;$U$2,$U$2,T41),T41),0)</f>
        <v>0</v>
      </c>
      <c r="P38" s="138" t="e">
        <f>SUM(J37:N37)/(ROUNDUP($J$5,0)*12)</f>
        <v>#DIV/0!</v>
      </c>
      <c r="Q38" s="137" t="e">
        <f>(SUM(J37:N37)/(CEILING($J$5*12,12)))*12</f>
        <v>#DIV/0!</v>
      </c>
      <c r="R38" s="12"/>
      <c r="S38" s="12"/>
      <c r="T38" s="191"/>
      <c r="U38" s="82"/>
      <c r="V38" s="82"/>
    </row>
    <row r="39" spans="1:22" ht="15.75" customHeight="1" outlineLevel="1" x14ac:dyDescent="0.25">
      <c r="A39" s="411" t="e">
        <f>ROUND(P38*100,2)&amp;"% Annualized Effort, "&amp;ROUND(Q39,2)&amp;" Avg. Academic Months
"&amp;IF(SUM(J40:N40)&gt;0," and "&amp;Q40 &amp;" Avg. Summer Months", "")</f>
        <v>#DIV/0!</v>
      </c>
      <c r="B39" s="47">
        <f>J39*O39</f>
        <v>0</v>
      </c>
      <c r="C39" s="47">
        <f>IF($J$5&gt;1,IF($U$2&lt;&gt;0,IF(O39*(1+$O$5)&lt;=$U$2*0.75,O39*K39*(1+$O$5),$U$2*0.75*K39),O39*K39*(1+$O$5)),0)</f>
        <v>0</v>
      </c>
      <c r="D39" s="47">
        <f>IF($J$5&gt;2,IF($U$2&lt;&gt;0,IF(O39*(1+$O$5)^2&lt;=$U$2*0.75,O39*L39*(1+$O$5)^2,$U$2*0.75*L39),O39*L39*(1+$O$5)^2),0)</f>
        <v>0</v>
      </c>
      <c r="E39" s="47">
        <f>IF($J$5&gt;3,IF($U$2&lt;&gt;0,IF(O39*(1+$O$5)^3&lt;=$U$2*0.75,O39*M39*(1+$O$5)^3,$U$2*0.75*M39),O39*M39*(1+$O$5)^3),0)</f>
        <v>0</v>
      </c>
      <c r="F39" s="47">
        <f>IF($J$5&gt;4,IF($U$2&lt;&gt;0,IF(O39*(1+$O$5)^4&lt;=$U$2*0.75,O39*N39*(1+$O$5)^4,$U$2*0.75*N39),O39*N39*(1+$O$5)^4),0)</f>
        <v>0</v>
      </c>
      <c r="G39" s="186">
        <f>SUM(B39:F39)</f>
        <v>0</v>
      </c>
      <c r="H39" s="193"/>
      <c r="I39" s="190" t="s">
        <v>15</v>
      </c>
      <c r="J39" s="265">
        <v>0</v>
      </c>
      <c r="K39" s="265">
        <f t="shared" ref="K39:K40" si="25">IF($J$5&gt;1,J39,0)</f>
        <v>0</v>
      </c>
      <c r="L39" s="265">
        <f t="shared" ref="L39:L40" si="26">IF($J$5&gt;2,K39,0)</f>
        <v>0</v>
      </c>
      <c r="M39" s="265">
        <f t="shared" ref="M39:M40" si="27">IF($J$5&gt;3,L39,0)</f>
        <v>0</v>
      </c>
      <c r="N39" s="265">
        <f t="shared" ref="N39:N40" si="28">IF($J$5&gt;4,M39,0)</f>
        <v>0</v>
      </c>
      <c r="O39" s="128">
        <f>IF(U41="A",IF($U$2&lt;&gt;0,IF(T41&gt;($U$2/12*9),($U$2/12*9),T41),T41),0)</f>
        <v>0</v>
      </c>
      <c r="P39" s="194"/>
      <c r="Q39" s="137" t="e">
        <f>((SUM(J37:N37)-SUM(J40:N40))/(CEILING($J$5*9,9)))*9</f>
        <v>#DIV/0!</v>
      </c>
      <c r="R39" s="12"/>
      <c r="S39" s="12"/>
      <c r="T39" s="191"/>
      <c r="U39" s="82"/>
      <c r="V39" s="82"/>
    </row>
    <row r="40" spans="1:22" outlineLevel="1" x14ac:dyDescent="0.25">
      <c r="A40" s="411"/>
      <c r="B40" s="47">
        <f>J40/3*O40</f>
        <v>0</v>
      </c>
      <c r="C40" s="47">
        <f>IF($J$5&gt;1,IF($U$2&lt;&gt;0,IF(O40*(1+$O$5)&lt;=$U$2*0.25,O40*K40/3*(1+$O$5),$U$2*0.25*K40/3),O40*K40/3*(1+$O$5)),0)</f>
        <v>0</v>
      </c>
      <c r="D40" s="47">
        <f>IF($J$5&gt;2,IF($U$2&lt;&gt;0,IF(O40*(1+$O$5)^2&lt;=$U$2*0.25,O40*L40/3*(1+$O$5)^2,$U$2*0.25*L40/3),O40*L40/3*(1+$O$5)^2),0)</f>
        <v>0</v>
      </c>
      <c r="E40" s="47">
        <f>IF($J$5&gt;3,IF($U$2&lt;&gt;0,IF(O40*(1+$O$5)^3&lt;=$U$2*0.25,O40*M40/3*(1+$O$5)^3,$U$2*0.25*M40/3),O40*M40/3*(1+$O$5)^3),0)</f>
        <v>0</v>
      </c>
      <c r="F40" s="47">
        <f>IF($J$5&gt;4,IF($U$2&lt;&gt;0,IF(O40*(1+$O$5)^4&lt;=$U$2*0.25,O40*N40/3*(1+$O$5)^4,$U$2*0.25*N40/3),O40*N40/3*(1+$O$5)^4),0)</f>
        <v>0</v>
      </c>
      <c r="G40" s="186">
        <f>SUM(B40:F40)</f>
        <v>0</v>
      </c>
      <c r="H40" s="193"/>
      <c r="I40" s="190" t="s">
        <v>17</v>
      </c>
      <c r="J40" s="266">
        <v>0</v>
      </c>
      <c r="K40" s="266">
        <f t="shared" si="25"/>
        <v>0</v>
      </c>
      <c r="L40" s="266">
        <f t="shared" si="26"/>
        <v>0</v>
      </c>
      <c r="M40" s="266">
        <f t="shared" si="27"/>
        <v>0</v>
      </c>
      <c r="N40" s="266">
        <f t="shared" si="28"/>
        <v>0</v>
      </c>
      <c r="O40" s="128">
        <f>IF(U41="A",IF($U$2&lt;&gt;0,IF(T41/9*3&gt;($U$2/12*3),($U$2/12*3),T41/9*3),T41/9*3),0)</f>
        <v>0</v>
      </c>
      <c r="P40" s="138"/>
      <c r="Q40" s="138" t="e">
        <f>((SUM(J37:N37)-SUM(J39:N39)*9)/(CEILING($J$5*3,3)))*3</f>
        <v>#DIV/0!</v>
      </c>
      <c r="R40" s="12"/>
      <c r="S40" s="12"/>
      <c r="T40" s="12"/>
      <c r="U40" s="82"/>
      <c r="V40" s="82"/>
    </row>
    <row r="41" spans="1:22" outlineLevel="1" x14ac:dyDescent="0.25">
      <c r="A41" s="195"/>
      <c r="B41" s="47"/>
      <c r="C41" s="47"/>
      <c r="D41" s="189"/>
      <c r="E41" s="189"/>
      <c r="F41" s="189"/>
      <c r="G41" s="196"/>
      <c r="H41" s="197"/>
      <c r="I41" s="190" t="s">
        <v>111</v>
      </c>
      <c r="J41" s="130">
        <f>SUM(B38:B40)*$V41</f>
        <v>0</v>
      </c>
      <c r="K41" s="130">
        <f t="shared" ref="K41:N41" si="29">SUM(C38:C40)*$V41</f>
        <v>0</v>
      </c>
      <c r="L41" s="130">
        <f t="shared" si="29"/>
        <v>0</v>
      </c>
      <c r="M41" s="130">
        <f t="shared" si="29"/>
        <v>0</v>
      </c>
      <c r="N41" s="130">
        <f t="shared" si="29"/>
        <v>0</v>
      </c>
      <c r="O41" s="129"/>
      <c r="P41" s="138"/>
      <c r="Q41" s="138"/>
      <c r="R41" s="12"/>
      <c r="S41" s="12"/>
      <c r="T41" s="327">
        <v>0</v>
      </c>
      <c r="U41" s="328"/>
      <c r="V41" s="198">
        <f>$J$79</f>
        <v>0</v>
      </c>
    </row>
    <row r="42" spans="1:22" outlineLevel="1" x14ac:dyDescent="0.25">
      <c r="A42" s="195"/>
      <c r="B42" s="47"/>
      <c r="C42" s="47"/>
      <c r="D42" s="189"/>
      <c r="E42" s="189"/>
      <c r="F42" s="189"/>
      <c r="G42" s="196"/>
      <c r="H42" s="197"/>
      <c r="I42" s="199"/>
      <c r="J42" s="79"/>
      <c r="K42" s="79"/>
      <c r="L42" s="79"/>
      <c r="M42" s="79"/>
      <c r="N42" s="79"/>
      <c r="O42" s="21"/>
      <c r="P42" s="138"/>
      <c r="Q42" s="138"/>
      <c r="R42" s="12"/>
      <c r="S42" s="12"/>
      <c r="T42" s="191"/>
      <c r="U42" s="82"/>
      <c r="V42" s="82"/>
    </row>
    <row r="43" spans="1:22" outlineLevel="1" x14ac:dyDescent="0.25">
      <c r="A43" s="192"/>
      <c r="B43" s="47"/>
      <c r="C43" s="47"/>
      <c r="D43" s="47"/>
      <c r="E43" s="47"/>
      <c r="F43" s="47"/>
      <c r="G43" s="186"/>
      <c r="H43" s="193"/>
      <c r="I43" s="200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85" t="s">
        <v>51</v>
      </c>
      <c r="P43" s="138"/>
      <c r="Q43" s="138"/>
      <c r="R43" s="12"/>
      <c r="S43" s="12"/>
      <c r="T43" s="12"/>
      <c r="U43" s="191"/>
      <c r="V43" s="82"/>
    </row>
    <row r="44" spans="1:22" outlineLevel="1" x14ac:dyDescent="0.25">
      <c r="A44" s="188" t="str">
        <f>"TBN, Post-doc ("&amp;J44&amp;")"</f>
        <v>TBN, Post-doc ()</v>
      </c>
      <c r="B44" s="47"/>
      <c r="C44" s="47"/>
      <c r="D44" s="189"/>
      <c r="E44" s="189"/>
      <c r="F44" s="189"/>
      <c r="G44" s="186"/>
      <c r="H44" s="193"/>
      <c r="I44" s="190" t="s">
        <v>16</v>
      </c>
      <c r="J44" s="314"/>
      <c r="K44" s="116"/>
      <c r="L44" s="116"/>
      <c r="M44" s="116"/>
      <c r="N44" s="116"/>
      <c r="O44" s="313"/>
      <c r="P44" s="138"/>
      <c r="Q44" s="138"/>
      <c r="R44" s="12"/>
      <c r="S44" s="12"/>
      <c r="T44" s="12"/>
      <c r="U44" s="82"/>
      <c r="V44" s="82"/>
    </row>
    <row r="45" spans="1:22" outlineLevel="1" x14ac:dyDescent="0.25">
      <c r="A45" s="192" t="str">
        <f>ROUND(J45*100,2)&amp;"% FY Effort, "&amp;ROUND(J45*12,2)&amp;" Calendar Months"</f>
        <v>0% FY Effort, 0 Calendar Months</v>
      </c>
      <c r="B45" s="47">
        <f>J44*O44*J45</f>
        <v>0</v>
      </c>
      <c r="C45" s="47">
        <f>IF($J$5&gt;1, O44*K45*(1+$O$5), 0)</f>
        <v>0</v>
      </c>
      <c r="D45" s="47">
        <f>IF($J$5&gt;2, O44*L45*(1+$O$5)^2, 0)</f>
        <v>0</v>
      </c>
      <c r="E45" s="47">
        <f>IF($J$5&gt;3, O44*M45*(1+$O$5)^3, 0)</f>
        <v>0</v>
      </c>
      <c r="F45" s="47">
        <f>IF($J$5&gt;4, O44*N45*(1+$O$5)^4, 0)</f>
        <v>0</v>
      </c>
      <c r="G45" s="186">
        <f>SUM(B45:F45)</f>
        <v>0</v>
      </c>
      <c r="H45" s="193"/>
      <c r="I45" s="201" t="s">
        <v>26</v>
      </c>
      <c r="J45" s="315">
        <v>0</v>
      </c>
      <c r="K45" s="315">
        <f>IF($J$5&gt;1,J45,0)</f>
        <v>0</v>
      </c>
      <c r="L45" s="315">
        <f>IF($J$5&gt;2,K45,0)</f>
        <v>0</v>
      </c>
      <c r="M45" s="315">
        <f>IF($J$5&gt;3,L45,0)</f>
        <v>0</v>
      </c>
      <c r="N45" s="315">
        <f>IF($J$5&gt;4,M45,0)</f>
        <v>0</v>
      </c>
      <c r="O45" s="21"/>
      <c r="P45" s="138"/>
      <c r="Q45" s="138"/>
      <c r="R45" s="12"/>
      <c r="S45" s="12"/>
      <c r="T45" s="12"/>
      <c r="U45" s="82"/>
      <c r="V45" s="82"/>
    </row>
    <row r="46" spans="1:22" outlineLevel="1" x14ac:dyDescent="0.25">
      <c r="A46" s="192"/>
      <c r="B46" s="47"/>
      <c r="C46" s="47"/>
      <c r="D46" s="48"/>
      <c r="E46" s="48"/>
      <c r="F46" s="48"/>
      <c r="G46" s="186"/>
      <c r="H46" s="193"/>
      <c r="I46" s="202"/>
      <c r="J46" s="1"/>
      <c r="K46" s="1"/>
      <c r="L46" s="1"/>
      <c r="M46" s="1"/>
      <c r="N46" s="1"/>
      <c r="O46" s="41" t="s">
        <v>51</v>
      </c>
      <c r="P46" s="138"/>
      <c r="Q46" s="138"/>
      <c r="R46" s="12"/>
      <c r="S46" s="12"/>
      <c r="T46" s="12"/>
      <c r="U46" s="82"/>
      <c r="V46" s="82"/>
    </row>
    <row r="47" spans="1:22" outlineLevel="1" x14ac:dyDescent="0.25">
      <c r="A47" s="188" t="str">
        <f>"TBN, Post-doc ("&amp;J47&amp;")"</f>
        <v>TBN, Post-doc ()</v>
      </c>
      <c r="B47" s="47"/>
      <c r="C47" s="47"/>
      <c r="D47" s="48"/>
      <c r="E47" s="48"/>
      <c r="F47" s="48"/>
      <c r="G47" s="186"/>
      <c r="H47" s="193"/>
      <c r="I47" s="190" t="s">
        <v>16</v>
      </c>
      <c r="J47" s="314"/>
      <c r="K47" s="116"/>
      <c r="L47" s="116"/>
      <c r="M47" s="116"/>
      <c r="N47" s="116"/>
      <c r="O47" s="313"/>
      <c r="P47" s="138"/>
      <c r="Q47" s="138"/>
      <c r="R47" s="12"/>
      <c r="S47" s="12"/>
      <c r="T47" s="12"/>
      <c r="U47" s="82"/>
      <c r="V47" s="82"/>
    </row>
    <row r="48" spans="1:22" outlineLevel="1" x14ac:dyDescent="0.25">
      <c r="A48" s="192" t="str">
        <f>ROUND(J48*100,2)&amp;"% FY Effort, "&amp;ROUND(J48*12,2)&amp;" Calendar Months"</f>
        <v>0% FY Effort, 0 Calendar Months</v>
      </c>
      <c r="B48" s="47">
        <f>J47*O47*J48</f>
        <v>0</v>
      </c>
      <c r="C48" s="47">
        <f>IF($J$5&gt;1, O47*K48*(1+$O$5), 0)</f>
        <v>0</v>
      </c>
      <c r="D48" s="47">
        <f>IF($J$5&gt;2, O47*L48*(1+$O$5)^2, 0)</f>
        <v>0</v>
      </c>
      <c r="E48" s="47">
        <f>IF($J$5&gt;3, O47*M48*(1+$O$5)^3, 0)</f>
        <v>0</v>
      </c>
      <c r="F48" s="47">
        <f>IF($J$5&gt;4, O47*N48*(1+$O$5)^4, 0)</f>
        <v>0</v>
      </c>
      <c r="G48" s="186">
        <f>SUM(B48:F48)</f>
        <v>0</v>
      </c>
      <c r="H48" s="193"/>
      <c r="I48" s="201" t="s">
        <v>26</v>
      </c>
      <c r="J48" s="315">
        <v>0</v>
      </c>
      <c r="K48" s="315">
        <f>IF($J$5&gt;1,J48,0)</f>
        <v>0</v>
      </c>
      <c r="L48" s="315">
        <f>IF($J$5&gt;2,K48,0)</f>
        <v>0</v>
      </c>
      <c r="M48" s="315">
        <f>IF($J$5&gt;3,L48,0)</f>
        <v>0</v>
      </c>
      <c r="N48" s="315">
        <f>IF($J$5&gt;4,M48,0)</f>
        <v>0</v>
      </c>
      <c r="O48" s="21"/>
      <c r="P48" s="138"/>
      <c r="Q48" s="138"/>
      <c r="R48" s="12"/>
      <c r="S48" s="12"/>
      <c r="T48" s="12"/>
      <c r="U48" s="82"/>
      <c r="V48" s="82"/>
    </row>
    <row r="49" spans="1:22" outlineLevel="1" x14ac:dyDescent="0.25">
      <c r="A49" s="192"/>
      <c r="B49" s="47"/>
      <c r="C49" s="47"/>
      <c r="D49" s="47"/>
      <c r="E49" s="47"/>
      <c r="F49" s="47"/>
      <c r="G49" s="186"/>
      <c r="H49" s="193"/>
      <c r="I49" s="202"/>
      <c r="J49" s="1"/>
      <c r="K49" s="1"/>
      <c r="L49" s="1"/>
      <c r="M49" s="1"/>
      <c r="N49" s="1"/>
      <c r="O49" s="41" t="s">
        <v>51</v>
      </c>
      <c r="P49" s="138"/>
      <c r="Q49" s="138"/>
      <c r="R49" s="12"/>
      <c r="S49" s="12"/>
      <c r="T49" s="12"/>
      <c r="U49" s="82"/>
      <c r="V49" s="82"/>
    </row>
    <row r="50" spans="1:22" outlineLevel="1" x14ac:dyDescent="0.25">
      <c r="A50" s="188" t="str">
        <f>"TBN, Post-doc ("&amp;J50&amp;")"</f>
        <v>TBN, Post-doc ()</v>
      </c>
      <c r="B50" s="47"/>
      <c r="C50" s="47"/>
      <c r="D50" s="47"/>
      <c r="E50" s="47"/>
      <c r="F50" s="47"/>
      <c r="G50" s="186"/>
      <c r="H50" s="193"/>
      <c r="I50" s="190" t="s">
        <v>16</v>
      </c>
      <c r="J50" s="314"/>
      <c r="K50" s="116"/>
      <c r="L50" s="116"/>
      <c r="M50" s="116"/>
      <c r="N50" s="116"/>
      <c r="O50" s="313"/>
      <c r="P50" s="138"/>
      <c r="Q50" s="138"/>
      <c r="R50" s="12"/>
      <c r="S50" s="12"/>
      <c r="T50" s="12"/>
      <c r="U50" s="82"/>
      <c r="V50" s="82"/>
    </row>
    <row r="51" spans="1:22" outlineLevel="1" x14ac:dyDescent="0.25">
      <c r="A51" s="192" t="str">
        <f>ROUND(J51*100,2)&amp;"% FY Effort, "&amp;ROUND(J51*12,2)&amp;" Calendar Months"</f>
        <v>0% FY Effort, 0 Calendar Months</v>
      </c>
      <c r="B51" s="47">
        <f>J50*O50*J51</f>
        <v>0</v>
      </c>
      <c r="C51" s="47">
        <f>IF($J$5&gt;1, O50*K51*(1+$O$5), 0)</f>
        <v>0</v>
      </c>
      <c r="D51" s="47">
        <f>IF($J$5&gt;2, O50*L51*(1+$O$5)^2, 0)</f>
        <v>0</v>
      </c>
      <c r="E51" s="47">
        <f>IF($J$5&gt;3, O50*M51*(1+$O$5)^3, 0)</f>
        <v>0</v>
      </c>
      <c r="F51" s="47">
        <f>IF($J$5&gt;4, O50*N51*(1+$O$5)^4, 0)</f>
        <v>0</v>
      </c>
      <c r="G51" s="186">
        <f>SUM(B51:F51)</f>
        <v>0</v>
      </c>
      <c r="H51" s="193"/>
      <c r="I51" s="201" t="s">
        <v>26</v>
      </c>
      <c r="J51" s="315">
        <v>0</v>
      </c>
      <c r="K51" s="315">
        <f>IF($J$5&gt;1,J51,0)</f>
        <v>0</v>
      </c>
      <c r="L51" s="315">
        <f>IF($J$5&gt;2,K51,0)</f>
        <v>0</v>
      </c>
      <c r="M51" s="315">
        <f>IF($J$5&gt;3,L51,0)</f>
        <v>0</v>
      </c>
      <c r="N51" s="315">
        <f>IF($J$5&gt;4,M51,0)</f>
        <v>0</v>
      </c>
      <c r="O51" s="21"/>
      <c r="P51" s="138"/>
      <c r="Q51" s="138"/>
      <c r="R51" s="12"/>
      <c r="S51" s="12"/>
      <c r="T51" s="12"/>
      <c r="U51" s="82"/>
      <c r="V51" s="82"/>
    </row>
    <row r="52" spans="1:22" outlineLevel="1" x14ac:dyDescent="0.25">
      <c r="B52" s="47"/>
      <c r="C52" s="47"/>
      <c r="D52" s="48"/>
      <c r="E52" s="48"/>
      <c r="F52" s="48"/>
      <c r="G52" s="186"/>
      <c r="H52" s="193"/>
      <c r="I52" s="180" t="s">
        <v>48</v>
      </c>
      <c r="J52" s="88" t="b">
        <f>IF(J54&gt;0%,IF(J54&lt;50%,IF(J54&gt;0,($U$3/2),0),$U$3),IF(J55&gt;0%,IF(J55&lt;50%,IF(J55&gt;0,($U$3/2),0),$U$3)))</f>
        <v>0</v>
      </c>
      <c r="K52" s="88" t="b">
        <f>IF(K54&gt;0%,IF(K54&lt;50%,IF(K54&gt;0,(($U$3*(1+$V$3))/2),0),($U$3*(1+$V$3))),IF(K55&gt;0%,IF(K55&lt;50%,IF(K55&gt;0,(($U$3*(1+$V$3))/2),0),($U$3*(1+$V$3)))))</f>
        <v>0</v>
      </c>
      <c r="L52" s="88" t="b">
        <f>IF(L54&gt;0%,IF(L54&lt;50%,IF(L54&gt;0,(($U$3*(1+$V$3)^2)/2),0),($U$3*(1+$V$3)^2)),IF(L55&gt;0%,IF(L55&lt;50%,IF(L55&gt;0,(($U$3*(1+$V$3)^2)/2),0),($U$3*(1+$V$3)^2))))</f>
        <v>0</v>
      </c>
      <c r="M52" s="88" t="b">
        <f>IF(M54&gt;0%,IF(M54&lt;50%,IF(M54&gt;0,(($U$3*(1+$V$3)^3)/2),0),($U$3*(1+$V$3)^3)),IF(M55&gt;0%,IF(M55&lt;50%,IF(M55&gt;0,(($U$3*(1+$V$3)^3)/2),0),($U$3*(1+$V$3)^3))))</f>
        <v>0</v>
      </c>
      <c r="N52" s="88" t="b">
        <f>IF(N54&gt;0%,IF(N54&lt;50%,IF(N54&gt;0,(($U$3*(1+$V$3)^4)/2),0),($U$3*(1+$V$3)^4)),IF(N55&gt;0%,IF(N55&lt;50%,IF(N55&gt;0,(($U$3*(1+$V$3)^4)/2),0),($U$3*(1+$V$3)^4))))</f>
        <v>0</v>
      </c>
      <c r="O52" s="41" t="s">
        <v>51</v>
      </c>
      <c r="P52" s="134"/>
      <c r="Q52" s="134"/>
      <c r="R52" s="12"/>
      <c r="S52" s="203"/>
      <c r="T52"/>
      <c r="U52"/>
      <c r="V52" s="82"/>
    </row>
    <row r="53" spans="1:22" outlineLevel="1" x14ac:dyDescent="0.25">
      <c r="A53" s="188" t="s">
        <v>85</v>
      </c>
      <c r="B53" s="47"/>
      <c r="C53" s="47"/>
      <c r="D53" s="48"/>
      <c r="E53" s="48"/>
      <c r="F53" s="48"/>
      <c r="G53" s="186"/>
      <c r="H53" s="193"/>
      <c r="I53" s="190" t="s">
        <v>132</v>
      </c>
      <c r="J53" s="5">
        <f>IF($U53="F",J54*12,SUM(J55*9,J56))</f>
        <v>0</v>
      </c>
      <c r="K53" s="5">
        <f t="shared" ref="K53:N53" si="30">IF($U53="F",K54*12,SUM(K55*9,K56))</f>
        <v>0</v>
      </c>
      <c r="L53" s="5">
        <f t="shared" si="30"/>
        <v>0</v>
      </c>
      <c r="M53" s="5">
        <f t="shared" si="30"/>
        <v>0</v>
      </c>
      <c r="N53" s="5">
        <f t="shared" si="30"/>
        <v>0</v>
      </c>
      <c r="O53" s="41"/>
      <c r="P53" s="134" t="s">
        <v>130</v>
      </c>
      <c r="Q53" s="134" t="s">
        <v>131</v>
      </c>
      <c r="R53" s="12"/>
      <c r="S53" s="12"/>
      <c r="T53" s="327">
        <v>0</v>
      </c>
      <c r="U53" s="328"/>
    </row>
    <row r="54" spans="1:22" outlineLevel="1" x14ac:dyDescent="0.25">
      <c r="A54" s="192" t="e">
        <f>ROUND(P54*100, 2)&amp;"% Avg. Fiscal Effort, "&amp;ROUND(Q54, 2)&amp;" Avg. Calendar Months"</f>
        <v>#DIV/0!</v>
      </c>
      <c r="B54" s="47">
        <f>O54*J54</f>
        <v>0</v>
      </c>
      <c r="C54" s="47">
        <f>IF($J$5&gt;1,IF($U$2&lt;&gt;0,IF(O54*(1+$O$5)&lt;=$U$2,O54*K54*(1+$O$5),$U$2*K54),O54*K54*(1+$O$5)),0)</f>
        <v>0</v>
      </c>
      <c r="D54" s="47">
        <f>IF($J$5&gt;2,IF($U$2&lt;&gt;0,IF(O54*(1+$O$5)^2&lt;=$U$2,O54*L54*(1+$O$5)^2,$U$2*L54),O54*L54*(1+$O$5)^2),0)</f>
        <v>0</v>
      </c>
      <c r="E54" s="47">
        <f>IF($J$5&gt;3,IF($U$2&lt;&gt;0,IF(O54*(1+$O$5)^3&lt;=$U$2,O54*M54*(1+$O$5)^3,$U$2*M54),O54*M54*(1+$O$5)^3),0)</f>
        <v>0</v>
      </c>
      <c r="F54" s="47">
        <f>IF($J$5&gt;4,IF($U$2&lt;&gt;0,IF(O54*(1+$O$5)^4&lt;=$U$2,O54*N54*(1+$O$5)^4,$U$2*N54),O54*N54*(1+$O$5)^4),0)</f>
        <v>0</v>
      </c>
      <c r="G54" s="186">
        <f>SUM(B54:F54)</f>
        <v>0</v>
      </c>
      <c r="H54" s="193"/>
      <c r="I54" s="190" t="s">
        <v>26</v>
      </c>
      <c r="J54" s="265">
        <v>0</v>
      </c>
      <c r="K54" s="265">
        <f>IF($J$5&gt;1,J54,0)</f>
        <v>0</v>
      </c>
      <c r="L54" s="265">
        <f>IF($J$5&gt;2,K54,0)</f>
        <v>0</v>
      </c>
      <c r="M54" s="265">
        <f>IF($J$5&gt;3,L54,0)</f>
        <v>0</v>
      </c>
      <c r="N54" s="265">
        <f>IF($J$5&gt;4,M54,0)</f>
        <v>0</v>
      </c>
      <c r="O54" s="128">
        <f>IF(U53="F",IF($U$2&lt;&gt;0,IF(T53&gt;$U$2,$U$2,T53),T53),0)</f>
        <v>0</v>
      </c>
      <c r="P54" s="138" t="e">
        <f>SUM(J53:N53)/(ROUNDUP($J$5,0)*12)</f>
        <v>#DIV/0!</v>
      </c>
      <c r="Q54" s="137" t="e">
        <f>(SUM(J53:N53)/(CEILING($J$5*12,12)))*12</f>
        <v>#DIV/0!</v>
      </c>
      <c r="R54" s="12"/>
      <c r="S54" s="12"/>
      <c r="T54" s="191"/>
      <c r="U54" s="82"/>
      <c r="V54" s="82"/>
    </row>
    <row r="55" spans="1:22" outlineLevel="1" x14ac:dyDescent="0.25">
      <c r="A55" s="411" t="e">
        <f>ROUND(P54*100,2)&amp;"% Annualized Effort, "&amp;ROUND(Q55,2)&amp;" Avg. Academic Months
"&amp;IF(SUM(J56:N56)&gt;0," and "&amp;Q56 &amp;" Avg. Summer Months", "")</f>
        <v>#DIV/0!</v>
      </c>
      <c r="B55" s="47">
        <f>J55*O55</f>
        <v>0</v>
      </c>
      <c r="C55" s="47">
        <f>IF($J$5&gt;1,IF($U$2&lt;&gt;0,IF(O55*(1+$O$5)&lt;=$U$2*0.75,O55*K55*(1+$O$5),$U$2*0.75*K55),O55*K55*(1+$O$5)),0)</f>
        <v>0</v>
      </c>
      <c r="D55" s="47">
        <f>IF($J$5&gt;2,IF($U$2&lt;&gt;0,IF(O55*(1+$O$5)^2&lt;=$U$2*0.75,O55*L55*(1+$O$5)^2,$U$2*0.75*L55),O55*L55*(1+$O$5)^2),0)</f>
        <v>0</v>
      </c>
      <c r="E55" s="47">
        <f>IF($J$5&gt;3,IF($U$2&lt;&gt;0,IF(O55*(1+$O$5)^3&lt;=$U$2*0.75,O55*M55*(1+$O$5)^3,$U$2*0.75*M55),O55*M55*(1+$O$5)^3),0)</f>
        <v>0</v>
      </c>
      <c r="F55" s="47">
        <f>IF($J$5&gt;4,IF($U$2&lt;&gt;0,IF(O55*(1+$O$5)^4&lt;=$U$2*0.75,O55*N55*(1+$O$5)^4,$U$2*0.75*N55),O55*N55*(1+$O$5)^4),0)</f>
        <v>0</v>
      </c>
      <c r="G55" s="186">
        <f>SUM(B55:F55)</f>
        <v>0</v>
      </c>
      <c r="H55" s="193"/>
      <c r="I55" s="190" t="s">
        <v>15</v>
      </c>
      <c r="J55" s="265">
        <v>0</v>
      </c>
      <c r="K55" s="265">
        <f t="shared" ref="K55:K56" si="31">IF($J$5&gt;1,J55,0)</f>
        <v>0</v>
      </c>
      <c r="L55" s="265">
        <f t="shared" ref="L55:L56" si="32">IF($J$5&gt;2,K55,0)</f>
        <v>0</v>
      </c>
      <c r="M55" s="265">
        <f t="shared" ref="M55:M56" si="33">IF($J$5&gt;3,L55,0)</f>
        <v>0</v>
      </c>
      <c r="N55" s="265">
        <f t="shared" ref="N55:N56" si="34">IF($J$5&gt;4,M55,0)</f>
        <v>0</v>
      </c>
      <c r="O55" s="128">
        <f>IF(U53="A",IF($U$2&lt;&gt;0,IF(T53&gt;($U$2/12*9),($U$2/12*9),T53),T53),0)</f>
        <v>0</v>
      </c>
      <c r="P55" s="194"/>
      <c r="Q55" s="137" t="e">
        <f>((SUM(J53:N53)-SUM(J56:N56))/(CEILING($J$5*9,9)))*9</f>
        <v>#DIV/0!</v>
      </c>
      <c r="R55" s="12"/>
      <c r="S55" s="12"/>
      <c r="T55" s="191"/>
      <c r="U55" s="82"/>
      <c r="V55" s="82"/>
    </row>
    <row r="56" spans="1:22" outlineLevel="1" x14ac:dyDescent="0.25">
      <c r="A56" s="411"/>
      <c r="B56" s="47">
        <f>J56/3*O56</f>
        <v>0</v>
      </c>
      <c r="C56" s="47">
        <f>IF($J$5&gt;1,IF($U$2&lt;&gt;0,IF(O56*(1+$O$5)&lt;=$U$2*0.25,O56*K56/3*(1+$O$5),$U$2*0.25*K56/3),O56*K56/3*(1+$O$5)),0)</f>
        <v>0</v>
      </c>
      <c r="D56" s="47">
        <f>IF($J$5&gt;2,IF($U$2&lt;&gt;0,IF(O56*(1+$O$5)^2&lt;=$U$2*0.25,O56*L56/3*(1+$O$5)^2,$U$2*0.25*L56/3),O56*L56/3*(1+$O$5)^2),0)</f>
        <v>0</v>
      </c>
      <c r="E56" s="47">
        <f>IF($J$5&gt;3,IF($U$2&lt;&gt;0,IF(O56*(1+$O$5)^3&lt;=$U$2*0.25,O56*M56/3*(1+$O$5)^3,$U$2*0.25*M56/3),O56*M56/3*(1+$O$5)^3),0)</f>
        <v>0</v>
      </c>
      <c r="F56" s="47">
        <f>IF($J$5&gt;4,IF($U$2&lt;&gt;0,IF(O56*(1+$O$5)^4&lt;=$U$2*0.25,O56*N56/3*(1+$O$5)^4,$U$2*0.25*N56/3),O56*N56/3*(1+$O$5)^4),0)</f>
        <v>0</v>
      </c>
      <c r="G56" s="186">
        <f>SUM(B56:F56)</f>
        <v>0</v>
      </c>
      <c r="H56" s="193"/>
      <c r="I56" s="201" t="s">
        <v>17</v>
      </c>
      <c r="J56" s="316">
        <v>0</v>
      </c>
      <c r="K56" s="316">
        <f t="shared" si="31"/>
        <v>0</v>
      </c>
      <c r="L56" s="316">
        <f t="shared" si="32"/>
        <v>0</v>
      </c>
      <c r="M56" s="316">
        <f t="shared" si="33"/>
        <v>0</v>
      </c>
      <c r="N56" s="316">
        <f t="shared" si="34"/>
        <v>0</v>
      </c>
      <c r="O56" s="147">
        <f>IF(U53="A",IF($U$2&lt;&gt;0,IF(T53/9*3&gt;($U$2/12*3),($U$2/12*3),T53/9*3),T53/9*3),0)</f>
        <v>0</v>
      </c>
      <c r="P56" s="138"/>
      <c r="Q56" s="138" t="e">
        <f>((SUM(J53:N53)-SUM(J55:N55)*9)/(CEILING($J$5*3,3)))*3</f>
        <v>#DIV/0!</v>
      </c>
      <c r="R56" s="12"/>
      <c r="S56" s="12"/>
      <c r="T56" s="12"/>
      <c r="U56" s="82"/>
      <c r="V56" s="198"/>
    </row>
    <row r="57" spans="1:22" outlineLevel="1" x14ac:dyDescent="0.25">
      <c r="B57" s="47"/>
      <c r="C57" s="47"/>
      <c r="D57" s="48"/>
      <c r="E57" s="48"/>
      <c r="F57" s="48"/>
      <c r="G57" s="186"/>
      <c r="H57" s="193"/>
      <c r="I57" s="180" t="s">
        <v>48</v>
      </c>
      <c r="J57" s="88" t="b">
        <f>IF(J59&gt;0%,IF(J59&lt;50%,IF(J59&gt;0,($U$3/2),0),$U$3),IF(J60&gt;0%,IF(J60&lt;50%,IF(J60&gt;0,($U$3/2),0),$U$3)))</f>
        <v>0</v>
      </c>
      <c r="K57" s="88" t="b">
        <f>IF(K59&gt;0%,IF(K59&lt;50%,IF(K59&gt;0,(($U$3*(1+$V$3))/2),0),($U$3*(1+$V$3))),IF(K60&gt;0%,IF(K60&lt;50%,IF(K60&gt;0,(($U$3*(1+$V$3))/2),0),($U$3*(1+$V$3)))))</f>
        <v>0</v>
      </c>
      <c r="L57" s="88" t="b">
        <f>IF(L59&gt;0%,IF(L59&lt;50%,IF(L59&gt;0,(($U$3*(1+$V$3)^2)/2),0),($U$3*(1+$V$3)^2)),IF(L60&gt;0%,IF(L60&lt;50%,IF(L60&gt;0,(($U$3*(1+$V$3)^2)/2),0),($U$3*(1+$V$3)^2))))</f>
        <v>0</v>
      </c>
      <c r="M57" s="88" t="b">
        <f>IF(M59&gt;0%,IF(M59&lt;50%,IF(M59&gt;0,(($U$3*(1+$V$3)^3)/2),0),($U$3*(1+$V$3)^3)),IF(M60&gt;0%,IF(M60&lt;50%,IF(M60&gt;0,(($U$3*(1+$V$3)^3)/2),0),($U$3*(1+$V$3)^3))))</f>
        <v>0</v>
      </c>
      <c r="N57" s="88" t="b">
        <f>IF(N59&gt;0%,IF(N59&lt;50%,IF(N59&gt;0,(($U$3*(1+$V$3)^4)/2),0),($U$3*(1+$V$3)^4)),IF(N60&gt;0%,IF(N60&lt;50%,IF(N60&gt;0,(($U$3*(1+$V$3)^4)/2),0),($U$3*(1+$V$3)^4))))</f>
        <v>0</v>
      </c>
      <c r="O57" s="41" t="s">
        <v>51</v>
      </c>
      <c r="P57" s="134"/>
      <c r="Q57" s="134"/>
      <c r="R57" s="12"/>
      <c r="S57" s="203"/>
      <c r="T57" s="12"/>
    </row>
    <row r="58" spans="1:22" outlineLevel="1" x14ac:dyDescent="0.25">
      <c r="A58" s="188" t="s">
        <v>85</v>
      </c>
      <c r="B58" s="47"/>
      <c r="C58" s="47"/>
      <c r="D58" s="48"/>
      <c r="E58" s="48"/>
      <c r="F58" s="48"/>
      <c r="G58" s="186"/>
      <c r="H58" s="193"/>
      <c r="I58" s="190" t="s">
        <v>132</v>
      </c>
      <c r="J58" s="5">
        <f>IF($U58="F",J59*12,SUM(J60*9,J61))</f>
        <v>0</v>
      </c>
      <c r="K58" s="5">
        <f t="shared" ref="K58:N58" si="35">IF($U58="F",K59*12,SUM(K60*9,K61))</f>
        <v>0</v>
      </c>
      <c r="L58" s="5">
        <f t="shared" si="35"/>
        <v>0</v>
      </c>
      <c r="M58" s="5">
        <f t="shared" si="35"/>
        <v>0</v>
      </c>
      <c r="N58" s="5">
        <f t="shared" si="35"/>
        <v>0</v>
      </c>
      <c r="O58" s="41"/>
      <c r="P58" s="134" t="s">
        <v>130</v>
      </c>
      <c r="Q58" s="134" t="s">
        <v>131</v>
      </c>
      <c r="R58" s="12"/>
      <c r="S58" s="12"/>
      <c r="T58" s="327">
        <v>0</v>
      </c>
      <c r="U58" s="328"/>
    </row>
    <row r="59" spans="1:22" outlineLevel="1" x14ac:dyDescent="0.25">
      <c r="A59" s="192" t="e">
        <f>ROUND(P59*100, 2)&amp;"% Avg. Fiscal Effort, "&amp;ROUND(Q59, 2)&amp;" Avg. Calendar Months"</f>
        <v>#DIV/0!</v>
      </c>
      <c r="B59" s="47">
        <f>O59*J59</f>
        <v>0</v>
      </c>
      <c r="C59" s="47">
        <f>IF($J$5&gt;1,IF($U$2&lt;&gt;0,IF(O59*(1+$O$5)&lt;=$U$2,O59*K59*(1+$O$5),$U$2*K59),O59*K59*(1+$O$5)),0)</f>
        <v>0</v>
      </c>
      <c r="D59" s="47">
        <f>IF($J$5&gt;2,IF($U$2&lt;&gt;0,IF(O59*(1+$O$5)^2&lt;=$U$2,O59*L59*(1+$O$5)^2,$U$2*L59),O59*L59*(1+$O$5)^2),0)</f>
        <v>0</v>
      </c>
      <c r="E59" s="47">
        <f>IF($J$5&gt;3,IF($U$2&lt;&gt;0,IF(O59*(1+$O$5)^3&lt;=$U$2,O59*M59*(1+$O$5)^3,$U$2*M59),O59*M59*(1+$O$5)^3),0)</f>
        <v>0</v>
      </c>
      <c r="F59" s="47">
        <f>IF($J$5&gt;4,IF($U$2&lt;&gt;0,IF(O59*(1+$O$5)^4&lt;=$U$2,O59*N59*(1+$O$5)^4,$U$2*N59),O59*N59*(1+$O$5)^4),0)</f>
        <v>0</v>
      </c>
      <c r="G59" s="186">
        <f>SUM(B59:F59)</f>
        <v>0</v>
      </c>
      <c r="H59" s="193"/>
      <c r="I59" s="190" t="s">
        <v>26</v>
      </c>
      <c r="J59" s="265">
        <v>0</v>
      </c>
      <c r="K59" s="265">
        <f>IF($J$5&gt;1,J59,0)</f>
        <v>0</v>
      </c>
      <c r="L59" s="265">
        <f>IF($J$5&gt;2,K59,0)</f>
        <v>0</v>
      </c>
      <c r="M59" s="265">
        <f>IF($J$5&gt;3,L59,0)</f>
        <v>0</v>
      </c>
      <c r="N59" s="265">
        <f>IF($J$5&gt;4,M59,0)</f>
        <v>0</v>
      </c>
      <c r="O59" s="128">
        <f>IF(U58="F",IF($U$2&lt;&gt;0,IF(T58&gt;$U$2,$U$2,T58),T58),0)</f>
        <v>0</v>
      </c>
      <c r="P59" s="138" t="e">
        <f>SUM(J58:N58)/(ROUNDUP($J$5,0)*12)</f>
        <v>#DIV/0!</v>
      </c>
      <c r="Q59" s="137" t="e">
        <f>(SUM(J58:N58)/(CEILING($J$5*12,12)))*12</f>
        <v>#DIV/0!</v>
      </c>
      <c r="R59" s="12"/>
      <c r="S59" s="12"/>
      <c r="T59" s="191"/>
      <c r="U59" s="82"/>
      <c r="V59" s="82"/>
    </row>
    <row r="60" spans="1:22" outlineLevel="1" x14ac:dyDescent="0.25">
      <c r="A60" s="411" t="e">
        <f>ROUND(P59*100,2)&amp;"% Annualized Effort, "&amp;ROUND(Q60,2)&amp;" Avg. Academic Months
"&amp;IF(SUM(J61:N61)&gt;0," and "&amp;Q61 &amp;" Avg. Summer Months", "")</f>
        <v>#DIV/0!</v>
      </c>
      <c r="B60" s="47">
        <f>J60*O60</f>
        <v>0</v>
      </c>
      <c r="C60" s="47">
        <f>IF($J$5&gt;1,IF($U$2&lt;&gt;0,IF(O60*(1+$O$5)&lt;=$U$2*0.75,O60*K60*(1+$O$5),$U$2*0.75*K60),O60*K60*(1+$O$5)),0)</f>
        <v>0</v>
      </c>
      <c r="D60" s="47">
        <f>IF($J$5&gt;2,IF($U$2&lt;&gt;0,IF(O60*(1+$O$5)^2&lt;=$U$2*0.75,O60*L60*(1+$O$5)^2,$U$2*0.75*L60),O60*L60*(1+$O$5)^2),0)</f>
        <v>0</v>
      </c>
      <c r="E60" s="47">
        <f>IF($J$5&gt;3,IF($U$2&lt;&gt;0,IF(O60*(1+$O$5)^3&lt;=$U$2*0.75,O60*M60*(1+$O$5)^3,$U$2*0.75*M60),O60*M60*(1+$O$5)^3),0)</f>
        <v>0</v>
      </c>
      <c r="F60" s="47">
        <f>IF($J$5&gt;4,IF($U$2&lt;&gt;0,IF(O60*(1+$O$5)^4&lt;=$U$2*0.75,O60*N60*(1+$O$5)^4,$U$2*0.75*N60),O60*N60*(1+$O$5)^4),0)</f>
        <v>0</v>
      </c>
      <c r="G60" s="186">
        <f>SUM(B60:F60)</f>
        <v>0</v>
      </c>
      <c r="H60" s="193"/>
      <c r="I60" s="190" t="s">
        <v>15</v>
      </c>
      <c r="J60" s="265">
        <v>0</v>
      </c>
      <c r="K60" s="265">
        <f t="shared" ref="K60:K61" si="36">IF($J$5&gt;1,J60,0)</f>
        <v>0</v>
      </c>
      <c r="L60" s="265">
        <f t="shared" ref="L60:L61" si="37">IF($J$5&gt;2,K60,0)</f>
        <v>0</v>
      </c>
      <c r="M60" s="265">
        <f t="shared" ref="M60:M61" si="38">IF($J$5&gt;3,L60,0)</f>
        <v>0</v>
      </c>
      <c r="N60" s="265">
        <f t="shared" ref="N60:N61" si="39">IF($J$5&gt;4,M60,0)</f>
        <v>0</v>
      </c>
      <c r="O60" s="128">
        <f>IF(U58="A",IF($U$2&lt;&gt;0,IF(T58&gt;($U$2/12*9),($U$2/12*9),T58),T58),0)</f>
        <v>0</v>
      </c>
      <c r="P60" s="194"/>
      <c r="Q60" s="137" t="e">
        <f>((SUM(J58:N58)-SUM(J61:N61))/(CEILING($J$5*9,9)))*9</f>
        <v>#DIV/0!</v>
      </c>
      <c r="R60" s="12"/>
      <c r="S60" s="12"/>
      <c r="T60" s="191"/>
      <c r="U60" s="82"/>
      <c r="V60" s="82"/>
    </row>
    <row r="61" spans="1:22" outlineLevel="1" x14ac:dyDescent="0.25">
      <c r="A61" s="411"/>
      <c r="B61" s="47">
        <f>J61/3*O61</f>
        <v>0</v>
      </c>
      <c r="C61" s="47">
        <f>IF($J$5&gt;1,IF($U$2&lt;&gt;0,IF(O61*(1+$O$5)&lt;=$U$2*0.25,O61*K61/3*(1+$O$5),$U$2*0.25*K61/3),O61*K61/3*(1+$O$5)),0)</f>
        <v>0</v>
      </c>
      <c r="D61" s="47">
        <f>IF($J$5&gt;2,IF($U$2&lt;&gt;0,IF(O61*(1+$O$5)^2&lt;=$U$2*0.25,O61*L61/3*(1+$O$5)^2,$U$2*0.25*L61/3),O61*L61/3*(1+$O$5)^2),0)</f>
        <v>0</v>
      </c>
      <c r="E61" s="47">
        <f>IF($J$5&gt;3,IF($U$2&lt;&gt;0,IF(O61*(1+$O$5)^3&lt;=$U$2*0.25,O61*M61/3*(1+$O$5)^3,$U$2*0.25*M61/3),O61*M61/3*(1+$O$5)^3),0)</f>
        <v>0</v>
      </c>
      <c r="F61" s="47">
        <f>IF($J$5&gt;4,IF($U$2&lt;&gt;0,IF(O61*(1+$O$5)^4&lt;=$U$2*0.25,O61*N61/3*(1+$O$5)^4,$U$2*0.25*N61/3),O61*N61/3*(1+$O$5)^4),0)</f>
        <v>0</v>
      </c>
      <c r="G61" s="186">
        <f>SUM(B61:F61)</f>
        <v>0</v>
      </c>
      <c r="H61" s="193"/>
      <c r="I61" s="201" t="s">
        <v>17</v>
      </c>
      <c r="J61" s="316">
        <v>0</v>
      </c>
      <c r="K61" s="316">
        <f t="shared" si="36"/>
        <v>0</v>
      </c>
      <c r="L61" s="316">
        <f t="shared" si="37"/>
        <v>0</v>
      </c>
      <c r="M61" s="316">
        <f t="shared" si="38"/>
        <v>0</v>
      </c>
      <c r="N61" s="316">
        <f t="shared" si="39"/>
        <v>0</v>
      </c>
      <c r="O61" s="147">
        <f>IF(U58="A",IF($U$2&lt;&gt;0,IF(T58/9*3&gt;($U$2/12*3),($U$2/12*3),T58/9*3),T58/9*3),0)</f>
        <v>0</v>
      </c>
      <c r="P61" s="138"/>
      <c r="Q61" s="138" t="e">
        <f>((SUM(J58:N58)-SUM(J60:N60)*9)/(CEILING($J$5*3,3)))*3</f>
        <v>#DIV/0!</v>
      </c>
      <c r="R61" s="12"/>
      <c r="S61" s="12"/>
      <c r="T61" s="12"/>
      <c r="U61" s="82"/>
      <c r="V61" s="198"/>
    </row>
    <row r="62" spans="1:22" outlineLevel="1" x14ac:dyDescent="0.25">
      <c r="B62" s="47"/>
      <c r="C62" s="47"/>
      <c r="D62" s="47"/>
      <c r="E62" s="47"/>
      <c r="F62" s="47"/>
      <c r="G62" s="186"/>
      <c r="H62" s="193"/>
      <c r="I62" s="180" t="s">
        <v>48</v>
      </c>
      <c r="J62" s="88" t="b">
        <f>IF(J64&gt;0%,IF(J64&lt;50%,IF(J64&gt;0,($U$3/2),0),$U$3),IF(J65&gt;0%,IF(J65&lt;50%,IF(J65&gt;0,($U$3/2),0),$U$3)))</f>
        <v>0</v>
      </c>
      <c r="K62" s="88" t="b">
        <f>IF(K64&gt;0%,IF(K64&lt;50%,IF(K64&gt;0,(($U$3*(1+$V$3))/2),0),($U$3*(1+$V$3))),IF(K65&gt;0%,IF(K65&lt;50%,IF(K65&gt;0,(($U$3*(1+$V$3))/2),0),($U$3*(1+$V$3)))))</f>
        <v>0</v>
      </c>
      <c r="L62" s="88" t="b">
        <f>IF(L64&gt;0%,IF(L64&lt;50%,IF(L64&gt;0,(($U$3*(1+$V$3)^2)/2),0),($U$3*(1+$V$3)^2)),IF(L65&gt;0%,IF(L65&lt;50%,IF(L65&gt;0,(($U$3*(1+$V$3)^2)/2),0),($U$3*(1+$V$3)^2))))</f>
        <v>0</v>
      </c>
      <c r="M62" s="88" t="b">
        <f>IF(M64&gt;0%,IF(M64&lt;50%,IF(M64&gt;0,(($U$3*(1+$V$3)^3)/2),0),($U$3*(1+$V$3)^3)),IF(M65&gt;0%,IF(M65&lt;50%,IF(M65&gt;0,(($U$3*(1+$V$3)^3)/2),0),($U$3*(1+$V$3)^3))))</f>
        <v>0</v>
      </c>
      <c r="N62" s="88" t="b">
        <f>IF(N64&gt;0%,IF(N64&lt;50%,IF(N64&gt;0,(($U$3*(1+$V$3)^4)/2),0),($U$3*(1+$V$3)^4)),IF(N65&gt;0%,IF(N65&lt;50%,IF(N65&gt;0,(($U$3*(1+$V$3)^4)/2),0),($U$3*(1+$V$3)^4))))</f>
        <v>0</v>
      </c>
      <c r="O62" s="41" t="s">
        <v>51</v>
      </c>
      <c r="P62" s="134"/>
      <c r="Q62" s="134"/>
      <c r="R62" s="12"/>
      <c r="S62" s="203"/>
      <c r="T62" s="12"/>
    </row>
    <row r="63" spans="1:22" outlineLevel="1" x14ac:dyDescent="0.25">
      <c r="A63" s="188" t="s">
        <v>85</v>
      </c>
      <c r="B63" s="47"/>
      <c r="C63" s="47"/>
      <c r="D63" s="47"/>
      <c r="E63" s="47"/>
      <c r="F63" s="47"/>
      <c r="G63" s="186"/>
      <c r="H63" s="193"/>
      <c r="I63" s="190" t="s">
        <v>132</v>
      </c>
      <c r="J63" s="5">
        <f>IF($U63="F",J64*12,SUM(J65*9,J66))</f>
        <v>0</v>
      </c>
      <c r="K63" s="5">
        <f t="shared" ref="K63:N63" si="40">IF($U63="F",K64*12,SUM(K65*9,K66))</f>
        <v>0</v>
      </c>
      <c r="L63" s="5">
        <f t="shared" si="40"/>
        <v>0</v>
      </c>
      <c r="M63" s="5">
        <f t="shared" si="40"/>
        <v>0</v>
      </c>
      <c r="N63" s="5">
        <f t="shared" si="40"/>
        <v>0</v>
      </c>
      <c r="O63" s="41"/>
      <c r="P63" s="134" t="s">
        <v>130</v>
      </c>
      <c r="Q63" s="134" t="s">
        <v>131</v>
      </c>
      <c r="R63" s="12"/>
      <c r="S63" s="12"/>
      <c r="T63" s="327">
        <v>0</v>
      </c>
      <c r="U63" s="328"/>
    </row>
    <row r="64" spans="1:22" outlineLevel="1" x14ac:dyDescent="0.25">
      <c r="A64" s="192" t="e">
        <f>ROUND(P64*100, 2)&amp;"% Avg. Fiscal Effort, "&amp;ROUND(Q64, 2)&amp;" Avg. Calendar Months"</f>
        <v>#DIV/0!</v>
      </c>
      <c r="B64" s="47">
        <f>O64*J64</f>
        <v>0</v>
      </c>
      <c r="C64" s="47">
        <f>IF($J$5&gt;1,IF($U$2&lt;&gt;0,IF(O64*(1+$O$5)&lt;=$U$2,O64*K64*(1+$O$5),$U$2*K64),O64*K64*(1+$O$5)),0)</f>
        <v>0</v>
      </c>
      <c r="D64" s="47">
        <f>IF($J$5&gt;2,IF($U$2&lt;&gt;0,IF(O64*(1+$O$5)^2&lt;=$U$2,O64*L64*(1+$O$5)^2,$U$2*L64),O64*L64*(1+$O$5)^2),0)</f>
        <v>0</v>
      </c>
      <c r="E64" s="47">
        <f>IF($J$5&gt;3,IF($U$2&lt;&gt;0,IF(O64*(1+$O$5)^3&lt;=$U$2,O64*M64*(1+$O$5)^3,$U$2*M64),O64*M64*(1+$O$5)^3),0)</f>
        <v>0</v>
      </c>
      <c r="F64" s="47">
        <f>IF($J$5&gt;4,IF($U$2&lt;&gt;0,IF(O64*(1+$O$5)^4&lt;=$U$2,O64*N64*(1+$O$5)^4,$U$2*N64),O64*N64*(1+$O$5)^4),0)</f>
        <v>0</v>
      </c>
      <c r="G64" s="186">
        <f>SUM(B64:F64)</f>
        <v>0</v>
      </c>
      <c r="H64" s="193"/>
      <c r="I64" s="190" t="s">
        <v>26</v>
      </c>
      <c r="J64" s="265">
        <v>0</v>
      </c>
      <c r="K64" s="265">
        <f>IF($J$5&gt;1,J64,0)</f>
        <v>0</v>
      </c>
      <c r="L64" s="265">
        <f>IF($J$5&gt;2,K64,0)</f>
        <v>0</v>
      </c>
      <c r="M64" s="265">
        <f>IF($J$5&gt;3,L64,0)</f>
        <v>0</v>
      </c>
      <c r="N64" s="265">
        <f>IF($J$5&gt;4,M64,0)</f>
        <v>0</v>
      </c>
      <c r="O64" s="128">
        <f>IF(U63="F",IF($U$2&lt;&gt;0,IF(T63&gt;$U$2,$U$2,T63),T63),0)</f>
        <v>0</v>
      </c>
      <c r="P64" s="138" t="e">
        <f>SUM(J63:N63)/(ROUNDUP($J$5,0)*12)</f>
        <v>#DIV/0!</v>
      </c>
      <c r="Q64" s="137" t="e">
        <f>(SUM(J63:N63)/(CEILING($J$5*12,12)))*12</f>
        <v>#DIV/0!</v>
      </c>
      <c r="R64" s="12"/>
      <c r="S64" s="12"/>
      <c r="T64" s="191"/>
      <c r="U64" s="82"/>
      <c r="V64" s="82"/>
    </row>
    <row r="65" spans="1:22" outlineLevel="1" x14ac:dyDescent="0.25">
      <c r="A65" s="411" t="e">
        <f>ROUND(P64*100,2)&amp;"% Annualized Effort, "&amp;ROUND(Q65,2)&amp;" Avg. Academic Months
"&amp;IF(SUM(J66:N66)&gt;0," and "&amp;Q66 &amp;" Avg. Summer Months", "")</f>
        <v>#DIV/0!</v>
      </c>
      <c r="B65" s="47">
        <f>J65*O65</f>
        <v>0</v>
      </c>
      <c r="C65" s="47">
        <f>IF($J$5&gt;1,IF($U$2&lt;&gt;0,IF(O65*(1+$O$5)&lt;=$U$2*0.75,O65*K65*(1+$O$5),$U$2*0.75*K65),O65*K65*(1+$O$5)),0)</f>
        <v>0</v>
      </c>
      <c r="D65" s="47">
        <f>IF($J$5&gt;2,IF($U$2&lt;&gt;0,IF(O65*(1+$O$5)^2&lt;=$U$2*0.75,O65*L65*(1+$O$5)^2,$U$2*0.75*L65),O65*L65*(1+$O$5)^2),0)</f>
        <v>0</v>
      </c>
      <c r="E65" s="47">
        <f>IF($J$5&gt;3,IF($U$2&lt;&gt;0,IF(O65*(1+$O$5)^3&lt;=$U$2*0.75,O65*M65*(1+$O$5)^3,$U$2*0.75*M65),O65*M65*(1+$O$5)^3),0)</f>
        <v>0</v>
      </c>
      <c r="F65" s="47">
        <f>IF($J$5&gt;4,IF($U$2&lt;&gt;0,IF(O65*(1+$O$5)^4&lt;=$U$2*0.75,O65*N65*(1+$O$5)^4,$U$2*0.75*N65),O65*N65*(1+$O$5)^4),0)</f>
        <v>0</v>
      </c>
      <c r="G65" s="186">
        <f>SUM(B65:F65)</f>
        <v>0</v>
      </c>
      <c r="H65" s="193"/>
      <c r="I65" s="190" t="s">
        <v>15</v>
      </c>
      <c r="J65" s="265">
        <v>0</v>
      </c>
      <c r="K65" s="265">
        <f t="shared" ref="K65:K66" si="41">IF($J$5&gt;1,J65,0)</f>
        <v>0</v>
      </c>
      <c r="L65" s="265">
        <f t="shared" ref="L65:L66" si="42">IF($J$5&gt;2,K65,0)</f>
        <v>0</v>
      </c>
      <c r="M65" s="265">
        <f t="shared" ref="M65:M66" si="43">IF($J$5&gt;3,L65,0)</f>
        <v>0</v>
      </c>
      <c r="N65" s="265">
        <f t="shared" ref="N65:N66" si="44">IF($J$5&gt;4,M65,0)</f>
        <v>0</v>
      </c>
      <c r="O65" s="128">
        <f>IF(U63="A",IF($U$2&lt;&gt;0,IF(T63&gt;($U$2/12*9),($U$2/12*9),T63),T63),0)</f>
        <v>0</v>
      </c>
      <c r="P65" s="194"/>
      <c r="Q65" s="137" t="e">
        <f>((SUM(J63:N63)-SUM(J66:N66))/(CEILING($J$5*9,9)))*9</f>
        <v>#DIV/0!</v>
      </c>
      <c r="R65" s="12"/>
      <c r="S65" s="12"/>
      <c r="T65" s="191"/>
      <c r="U65" s="82"/>
      <c r="V65" s="82"/>
    </row>
    <row r="66" spans="1:22" outlineLevel="1" x14ac:dyDescent="0.25">
      <c r="A66" s="411"/>
      <c r="B66" s="47">
        <f>J66/3*O66</f>
        <v>0</v>
      </c>
      <c r="C66" s="47">
        <f>IF($J$5&gt;1,IF($U$2&lt;&gt;0,IF(O66*(1+$O$5)&lt;=$U$2*0.25,O66*K66/3*(1+$O$5),$U$2*0.25*K66/3),O66*K66/3*(1+$O$5)),0)</f>
        <v>0</v>
      </c>
      <c r="D66" s="47">
        <f>IF($J$5&gt;2,IF($U$2&lt;&gt;0,IF(O66*(1+$O$5)^2&lt;=$U$2*0.25,O66*L66/3*(1+$O$5)^2,$U$2*0.25*L66/3),O66*L66/3*(1+$O$5)^2),0)</f>
        <v>0</v>
      </c>
      <c r="E66" s="47">
        <f>IF($J$5&gt;3,IF($U$2&lt;&gt;0,IF(O66*(1+$O$5)^3&lt;=$U$2*0.25,O66*M66/3*(1+$O$5)^3,$U$2*0.25*M66/3),O66*M66/3*(1+$O$5)^3),0)</f>
        <v>0</v>
      </c>
      <c r="F66" s="47">
        <f>IF($J$5&gt;4,IF($U$2&lt;&gt;0,IF(O66*(1+$O$5)^4&lt;=$U$2*0.25,O66*N66/3*(1+$O$5)^4,$U$2*0.25*N66/3),O66*N66/3*(1+$O$5)^4),0)</f>
        <v>0</v>
      </c>
      <c r="G66" s="186">
        <f>SUM(B66:F66)</f>
        <v>0</v>
      </c>
      <c r="H66" s="193"/>
      <c r="I66" s="190" t="s">
        <v>17</v>
      </c>
      <c r="J66" s="316">
        <v>0</v>
      </c>
      <c r="K66" s="316">
        <f t="shared" si="41"/>
        <v>0</v>
      </c>
      <c r="L66" s="316">
        <f t="shared" si="42"/>
        <v>0</v>
      </c>
      <c r="M66" s="316">
        <f t="shared" si="43"/>
        <v>0</v>
      </c>
      <c r="N66" s="316">
        <f t="shared" si="44"/>
        <v>0</v>
      </c>
      <c r="O66" s="147">
        <f>IF(U63="A",IF($U$2&lt;&gt;0,IF(T63/9*3&gt;($U$2/12*3),($U$2/12*3),T63/9*3),T63/9*3),0)</f>
        <v>0</v>
      </c>
      <c r="P66" s="138"/>
      <c r="Q66" s="138" t="e">
        <f>((SUM(J63:N63)-SUM(J65:N65)*9)/(CEILING($J$5*3,3)))*3</f>
        <v>#DIV/0!</v>
      </c>
      <c r="R66" s="12"/>
      <c r="S66" s="12"/>
      <c r="T66" s="12"/>
      <c r="U66" s="82"/>
      <c r="V66" s="198"/>
    </row>
    <row r="67" spans="1:22" outlineLevel="1" x14ac:dyDescent="0.25">
      <c r="A67" s="192"/>
      <c r="B67" s="47"/>
      <c r="C67" s="47"/>
      <c r="D67" s="48"/>
      <c r="E67" s="48"/>
      <c r="F67" s="48"/>
      <c r="G67" s="186"/>
      <c r="H67" s="193"/>
      <c r="I67" s="200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72" t="s">
        <v>50</v>
      </c>
      <c r="P67" s="138"/>
      <c r="Q67" s="138"/>
      <c r="R67" s="12"/>
      <c r="S67" s="12"/>
      <c r="T67" s="12"/>
    </row>
    <row r="68" spans="1:22" outlineLevel="1" x14ac:dyDescent="0.25">
      <c r="A68" s="188" t="str">
        <f>"TBN, Student Worker ("&amp;J68&amp;")"</f>
        <v>TBN, Student Worker (0)</v>
      </c>
      <c r="B68" s="47"/>
      <c r="C68" s="47"/>
      <c r="D68" s="48"/>
      <c r="E68" s="48"/>
      <c r="F68" s="48"/>
      <c r="G68" s="186"/>
      <c r="H68" s="193"/>
      <c r="I68" s="202" t="s">
        <v>49</v>
      </c>
      <c r="J68" s="276">
        <v>0</v>
      </c>
      <c r="K68" s="117"/>
      <c r="L68" s="117"/>
      <c r="M68" s="117"/>
      <c r="N68" s="117"/>
      <c r="O68" s="318">
        <v>0</v>
      </c>
      <c r="P68" s="138"/>
      <c r="Q68" s="138"/>
      <c r="R68" s="12"/>
      <c r="S68" s="12"/>
      <c r="T68" s="12"/>
    </row>
    <row r="69" spans="1:22" outlineLevel="1" x14ac:dyDescent="0.25">
      <c r="A69" s="192" t="str">
        <f>J69&amp;" hours per student @ $"&amp;O68&amp;"/hour"</f>
        <v xml:space="preserve"> hours per student @ $0/hour</v>
      </c>
      <c r="B69" s="47">
        <f>J68*J69*O68</f>
        <v>0</v>
      </c>
      <c r="C69" s="47">
        <f>IF($J$5&gt;1,$J$68*K69*$O$68*(1+$O$5),0)</f>
        <v>0</v>
      </c>
      <c r="D69" s="47">
        <f>IF($J$5&gt;2,$J$68*L69*$O$68*(1+$O$5)^2,0)</f>
        <v>0</v>
      </c>
      <c r="E69" s="47">
        <f>IF($J$5&gt;3,$J$68*M69*$O$68*(1+$O$5)^3,0)</f>
        <v>0</v>
      </c>
      <c r="F69" s="47">
        <f>IF($J$5&gt;4,$J$68*N69*$O$68*(1+$O$5)^4,0)</f>
        <v>0</v>
      </c>
      <c r="G69" s="186">
        <f>SUM(B69:F69)</f>
        <v>0</v>
      </c>
      <c r="H69" s="193"/>
      <c r="I69" s="204" t="s">
        <v>56</v>
      </c>
      <c r="J69" s="317"/>
      <c r="K69" s="316">
        <f t="shared" ref="K69" si="45">IF($J$5&gt;1,J69,0)</f>
        <v>0</v>
      </c>
      <c r="L69" s="317">
        <f t="shared" ref="L69" si="46">IF($J$5&gt;2,K69,0)</f>
        <v>0</v>
      </c>
      <c r="M69" s="317">
        <f t="shared" ref="M69" si="47">IF($J$5&gt;3,L69,0)</f>
        <v>0</v>
      </c>
      <c r="N69" s="317">
        <f t="shared" ref="N69" si="48">IF($J$5&gt;4,M69,0)</f>
        <v>0</v>
      </c>
      <c r="O69" s="21"/>
      <c r="P69" s="138"/>
      <c r="Q69" s="138"/>
      <c r="R69" s="12"/>
      <c r="S69" s="12"/>
      <c r="T69" s="12"/>
    </row>
    <row r="70" spans="1:22" outlineLevel="1" x14ac:dyDescent="0.25">
      <c r="A70" s="192"/>
      <c r="B70" s="47"/>
      <c r="C70" s="47"/>
      <c r="D70" s="47"/>
      <c r="E70" s="47"/>
      <c r="F70" s="47"/>
      <c r="G70" s="186"/>
      <c r="H70" s="193"/>
      <c r="I70" s="202"/>
      <c r="J70" s="117"/>
      <c r="K70" s="117"/>
      <c r="L70" s="117"/>
      <c r="M70" s="117"/>
      <c r="N70" s="117"/>
      <c r="O70" s="43" t="s">
        <v>50</v>
      </c>
      <c r="P70" s="138"/>
      <c r="Q70" s="138"/>
      <c r="R70" s="12"/>
      <c r="S70" s="12"/>
      <c r="T70" s="12"/>
    </row>
    <row r="71" spans="1:22" outlineLevel="1" x14ac:dyDescent="0.25">
      <c r="A71" s="188" t="str">
        <f>"TBN, Student Worker ("&amp;J71&amp;")"</f>
        <v>TBN, Student Worker (0)</v>
      </c>
      <c r="B71" s="47"/>
      <c r="C71" s="47"/>
      <c r="D71" s="48"/>
      <c r="E71" s="48"/>
      <c r="F71" s="48"/>
      <c r="G71" s="186"/>
      <c r="H71" s="193"/>
      <c r="I71" s="202" t="s">
        <v>49</v>
      </c>
      <c r="J71" s="276">
        <v>0</v>
      </c>
      <c r="K71" s="117"/>
      <c r="L71" s="117"/>
      <c r="M71" s="117"/>
      <c r="N71" s="117"/>
      <c r="O71" s="318">
        <v>0</v>
      </c>
      <c r="P71" s="138"/>
      <c r="Q71" s="138"/>
      <c r="R71" s="12"/>
      <c r="S71" s="12"/>
      <c r="T71" s="12"/>
    </row>
    <row r="72" spans="1:22" outlineLevel="1" x14ac:dyDescent="0.25">
      <c r="A72" s="192" t="str">
        <f>J72&amp;" hours per student @ $"&amp;O71&amp;"/hour"</f>
        <v xml:space="preserve"> hours per student @ $0/hour</v>
      </c>
      <c r="B72" s="47">
        <f>J71*J72*O71</f>
        <v>0</v>
      </c>
      <c r="C72" s="47">
        <f>IF($J$5&gt;1,$J$71*K72*$O$71*(1+$O$5),0)</f>
        <v>0</v>
      </c>
      <c r="D72" s="47">
        <f>IF($J$5&gt;2,$J$71*L72*$O$71*(1+$O$5)^2,0)</f>
        <v>0</v>
      </c>
      <c r="E72" s="47">
        <f>IF($J$5&gt;3,$J$71*M72*$O$71*(1+$O$5)^3,0)</f>
        <v>0</v>
      </c>
      <c r="F72" s="47">
        <f>IF($J$5&gt;4,$J$71*N72*$O$71*(1+$O$5)^4,0)</f>
        <v>0</v>
      </c>
      <c r="G72" s="186">
        <f>SUM(B72:F72)</f>
        <v>0</v>
      </c>
      <c r="H72" s="193"/>
      <c r="I72" s="204" t="s">
        <v>56</v>
      </c>
      <c r="J72" s="317"/>
      <c r="K72" s="316">
        <f t="shared" ref="K72" si="49">IF($J$5&gt;1,J72,0)</f>
        <v>0</v>
      </c>
      <c r="L72" s="317">
        <f t="shared" ref="L72" si="50">IF($J$5&gt;2,K72,0)</f>
        <v>0</v>
      </c>
      <c r="M72" s="317">
        <f t="shared" ref="M72" si="51">IF($J$5&gt;3,L72,0)</f>
        <v>0</v>
      </c>
      <c r="N72" s="317">
        <f t="shared" ref="N72" si="52">IF($J$5&gt;4,M72,0)</f>
        <v>0</v>
      </c>
      <c r="O72" s="21"/>
      <c r="P72" s="138"/>
      <c r="Q72" s="138"/>
      <c r="R72" s="12"/>
      <c r="S72" s="12"/>
      <c r="T72" s="12"/>
    </row>
    <row r="73" spans="1:22" outlineLevel="1" x14ac:dyDescent="0.25">
      <c r="A73" s="192"/>
      <c r="B73" s="47"/>
      <c r="C73" s="47"/>
      <c r="D73" s="47"/>
      <c r="E73" s="47"/>
      <c r="F73" s="47"/>
      <c r="G73" s="186"/>
      <c r="H73" s="193"/>
      <c r="I73" s="202"/>
      <c r="J73" s="117"/>
      <c r="K73" s="117"/>
      <c r="L73" s="117"/>
      <c r="M73" s="117"/>
      <c r="N73" s="117"/>
      <c r="O73" s="43" t="s">
        <v>50</v>
      </c>
      <c r="P73" s="138"/>
      <c r="Q73" s="138"/>
      <c r="R73" s="12"/>
      <c r="S73" s="12"/>
      <c r="T73" s="12"/>
    </row>
    <row r="74" spans="1:22" outlineLevel="1" x14ac:dyDescent="0.25">
      <c r="A74" s="188" t="str">
        <f>"TBN, Student Worker ("&amp;J74&amp;")"</f>
        <v>TBN, Student Worker (0)</v>
      </c>
      <c r="B74" s="47"/>
      <c r="C74" s="47"/>
      <c r="D74" s="48"/>
      <c r="E74" s="48"/>
      <c r="F74" s="48"/>
      <c r="G74" s="186"/>
      <c r="H74" s="193"/>
      <c r="I74" s="202" t="s">
        <v>49</v>
      </c>
      <c r="J74" s="276">
        <v>0</v>
      </c>
      <c r="K74" s="117"/>
      <c r="L74" s="117"/>
      <c r="M74" s="117"/>
      <c r="N74" s="117"/>
      <c r="O74" s="318">
        <v>0</v>
      </c>
      <c r="P74" s="138"/>
      <c r="Q74" s="138"/>
      <c r="R74" s="12"/>
      <c r="S74" s="12"/>
      <c r="T74" s="12"/>
    </row>
    <row r="75" spans="1:22" outlineLevel="1" x14ac:dyDescent="0.25">
      <c r="A75" s="192" t="str">
        <f>J75&amp;" hours per student @ $"&amp;O74&amp;"/hour"</f>
        <v xml:space="preserve"> hours per student @ $0/hour</v>
      </c>
      <c r="B75" s="47">
        <f>J74*J75*O74</f>
        <v>0</v>
      </c>
      <c r="C75" s="47">
        <f>IF($J$5&gt;1,$J$74*K75*$O$74*(1+$O$5),0)</f>
        <v>0</v>
      </c>
      <c r="D75" s="47">
        <f>IF($J$5&gt;2,$J$74*L75*$O$74*(1+$O$5)^2,0)</f>
        <v>0</v>
      </c>
      <c r="E75" s="47">
        <f>IF($J$5&gt;3,$J$74*M75*$O$74*(1+$O$5)^3,0)</f>
        <v>0</v>
      </c>
      <c r="F75" s="47">
        <f>IF($J$5&gt;4,$J$74*N75*$O$74*(1+$O$5)^4,0)</f>
        <v>0</v>
      </c>
      <c r="G75" s="186">
        <f>SUM(B75:F75)</f>
        <v>0</v>
      </c>
      <c r="H75" s="193"/>
      <c r="I75" s="204" t="s">
        <v>56</v>
      </c>
      <c r="J75" s="317"/>
      <c r="K75" s="316">
        <f t="shared" ref="K75" si="53">IF($J$5&gt;1,J75,0)</f>
        <v>0</v>
      </c>
      <c r="L75" s="317">
        <f t="shared" ref="L75" si="54">IF($J$5&gt;2,K75,0)</f>
        <v>0</v>
      </c>
      <c r="M75" s="317">
        <f t="shared" ref="M75" si="55">IF($J$5&gt;3,L75,0)</f>
        <v>0</v>
      </c>
      <c r="N75" s="317">
        <f t="shared" ref="N75" si="56">IF($J$5&gt;4,M75,0)</f>
        <v>0</v>
      </c>
      <c r="O75" s="21"/>
      <c r="P75" s="138"/>
      <c r="Q75" s="138"/>
      <c r="R75" s="12"/>
      <c r="S75" s="12"/>
      <c r="T75" s="12"/>
    </row>
    <row r="76" spans="1:22" outlineLevel="1" x14ac:dyDescent="0.25">
      <c r="A76" s="205" t="s">
        <v>0</v>
      </c>
      <c r="B76" s="53">
        <f>ROUND(SUM(B8:B75),0)</f>
        <v>0</v>
      </c>
      <c r="C76" s="53">
        <f t="shared" ref="C76:F76" si="57">ROUND(SUM(C8:C75),0)</f>
        <v>0</v>
      </c>
      <c r="D76" s="53">
        <f t="shared" si="57"/>
        <v>0</v>
      </c>
      <c r="E76" s="53">
        <f t="shared" si="57"/>
        <v>0</v>
      </c>
      <c r="F76" s="53">
        <f t="shared" si="57"/>
        <v>0</v>
      </c>
      <c r="G76" s="53">
        <f>SUM(B76:F76)</f>
        <v>0</v>
      </c>
      <c r="H76" s="24"/>
      <c r="R76" s="12"/>
      <c r="S76" s="12"/>
      <c r="T76" s="12"/>
      <c r="V76" s="82"/>
    </row>
    <row r="77" spans="1:22" outlineLevel="1" x14ac:dyDescent="0.25">
      <c r="B77" s="52"/>
      <c r="C77" s="52"/>
      <c r="D77" s="48"/>
      <c r="E77" s="48"/>
      <c r="F77" s="48"/>
      <c r="G77" s="186"/>
      <c r="R77" s="12"/>
      <c r="S77" s="12"/>
      <c r="T77" s="12"/>
      <c r="V77" s="82"/>
    </row>
    <row r="78" spans="1:22" outlineLevel="1" x14ac:dyDescent="0.25">
      <c r="A78" s="178" t="s">
        <v>4</v>
      </c>
      <c r="B78" s="52"/>
      <c r="C78" s="52"/>
      <c r="D78" s="48"/>
      <c r="E78" s="48"/>
      <c r="F78" s="48"/>
      <c r="G78" s="186"/>
      <c r="R78" s="12"/>
      <c r="S78" s="12"/>
      <c r="T78" s="12"/>
      <c r="V78" s="82"/>
    </row>
    <row r="79" spans="1:22" outlineLevel="1" x14ac:dyDescent="0.25">
      <c r="A79" s="87" t="str">
        <f>I79&amp;ROUND(J79*100,2)&amp;"%"</f>
        <v>Employees @ 0%</v>
      </c>
      <c r="B79" s="319">
        <f>SUM(B8:B40)*$J$79</f>
        <v>0</v>
      </c>
      <c r="C79" s="319">
        <f>SUM(C8:C40)*$J$79</f>
        <v>0</v>
      </c>
      <c r="D79" s="319">
        <f>SUM(D8:D40)*$J$79</f>
        <v>0</v>
      </c>
      <c r="E79" s="319">
        <f>SUM(E8:E40)*$J$79</f>
        <v>0</v>
      </c>
      <c r="F79" s="319">
        <f>SUM(F8:F40)*$J$79</f>
        <v>0</v>
      </c>
      <c r="G79" s="54">
        <f>SUM(B79:F79)</f>
        <v>0</v>
      </c>
      <c r="H79" s="174"/>
      <c r="I79" s="329" t="s">
        <v>152</v>
      </c>
      <c r="J79" s="330">
        <v>0</v>
      </c>
      <c r="K79" s="207"/>
      <c r="L79" s="207"/>
      <c r="M79" s="207"/>
      <c r="N79" s="207"/>
      <c r="R79" s="12"/>
      <c r="S79" s="12"/>
      <c r="T79" s="12"/>
      <c r="V79" s="82"/>
    </row>
    <row r="80" spans="1:22" outlineLevel="1" x14ac:dyDescent="0.25">
      <c r="A80" s="87" t="str">
        <f t="shared" ref="A80:A82" si="58">I80&amp;ROUND(J80*100,2)&amp;"%"</f>
        <v>Post-docs @ 0%</v>
      </c>
      <c r="B80" s="319">
        <f>SUM(B45:B51)*$J$80</f>
        <v>0</v>
      </c>
      <c r="C80" s="319">
        <f>SUM(C45:C51)*$J$80</f>
        <v>0</v>
      </c>
      <c r="D80" s="319">
        <f>SUM(D45:D51)*$J$80</f>
        <v>0</v>
      </c>
      <c r="E80" s="319">
        <f>SUM(E45:E51)*$J$80</f>
        <v>0</v>
      </c>
      <c r="F80" s="319">
        <f>SUM(F45:F51)*$J$80</f>
        <v>0</v>
      </c>
      <c r="G80" s="54">
        <f t="shared" ref="G80:G82" si="59">SUM(B80:F80)</f>
        <v>0</v>
      </c>
      <c r="H80" s="174"/>
      <c r="I80" s="329" t="s">
        <v>153</v>
      </c>
      <c r="J80" s="330">
        <v>0</v>
      </c>
      <c r="K80" s="207"/>
      <c r="L80" s="207"/>
      <c r="M80" s="207"/>
      <c r="N80" s="207"/>
      <c r="R80" s="12"/>
      <c r="S80" s="12"/>
      <c r="T80" s="12"/>
      <c r="V80" s="82"/>
    </row>
    <row r="81" spans="1:22" outlineLevel="1" x14ac:dyDescent="0.25">
      <c r="A81" s="87" t="str">
        <f t="shared" si="58"/>
        <v>Graduate Assistants @ 0%</v>
      </c>
      <c r="B81" s="319">
        <f>SUM(B54:B66)*$J$81</f>
        <v>0</v>
      </c>
      <c r="C81" s="319">
        <f>SUM(C54:C66)*$J$81</f>
        <v>0</v>
      </c>
      <c r="D81" s="319">
        <f>SUM(D54:D66)*$J$81</f>
        <v>0</v>
      </c>
      <c r="E81" s="319">
        <f>SUM(E54:E66)*$J$81</f>
        <v>0</v>
      </c>
      <c r="F81" s="319">
        <f>SUM(F54:F66)*$J$81</f>
        <v>0</v>
      </c>
      <c r="G81" s="54">
        <f t="shared" si="59"/>
        <v>0</v>
      </c>
      <c r="H81" s="174"/>
      <c r="I81" s="329" t="s">
        <v>148</v>
      </c>
      <c r="J81" s="330">
        <v>0</v>
      </c>
      <c r="K81" s="207"/>
      <c r="L81" s="207"/>
      <c r="M81" s="207"/>
      <c r="N81" s="207"/>
      <c r="R81" s="12"/>
      <c r="S81" s="12"/>
      <c r="T81" s="12"/>
      <c r="V81" s="82"/>
    </row>
    <row r="82" spans="1:22" outlineLevel="1" x14ac:dyDescent="0.25">
      <c r="A82" s="87" t="str">
        <f t="shared" si="58"/>
        <v>Student Workers @0%</v>
      </c>
      <c r="B82" s="319">
        <f>SUM(B69:B75)*$J$82</f>
        <v>0</v>
      </c>
      <c r="C82" s="319">
        <f t="shared" ref="C82:F82" si="60">SUM(C69:C75)*$J$82</f>
        <v>0</v>
      </c>
      <c r="D82" s="319">
        <f t="shared" si="60"/>
        <v>0</v>
      </c>
      <c r="E82" s="319">
        <f t="shared" si="60"/>
        <v>0</v>
      </c>
      <c r="F82" s="319">
        <f t="shared" si="60"/>
        <v>0</v>
      </c>
      <c r="G82" s="54">
        <f t="shared" si="59"/>
        <v>0</v>
      </c>
      <c r="H82" s="174"/>
      <c r="I82" s="329" t="s">
        <v>145</v>
      </c>
      <c r="J82" s="330">
        <v>0</v>
      </c>
      <c r="K82" s="207"/>
      <c r="L82" s="207"/>
      <c r="M82" s="207"/>
      <c r="N82" s="207"/>
      <c r="R82" s="12"/>
      <c r="S82" s="12"/>
      <c r="T82" s="12"/>
      <c r="V82" s="82"/>
    </row>
    <row r="83" spans="1:22" outlineLevel="1" x14ac:dyDescent="0.25">
      <c r="A83" s="205" t="s">
        <v>1</v>
      </c>
      <c r="B83" s="55">
        <f>ROUND(SUM(B79:B82),0)</f>
        <v>0</v>
      </c>
      <c r="C83" s="55">
        <f t="shared" ref="C83:F83" si="61">ROUND(SUM(C79:C82),0)</f>
        <v>0</v>
      </c>
      <c r="D83" s="55">
        <f t="shared" si="61"/>
        <v>0</v>
      </c>
      <c r="E83" s="55">
        <f t="shared" si="61"/>
        <v>0</v>
      </c>
      <c r="F83" s="55">
        <f t="shared" si="61"/>
        <v>0</v>
      </c>
      <c r="G83" s="208">
        <f t="shared" ref="G83" si="62">SUM(B83:F83)</f>
        <v>0</v>
      </c>
      <c r="H83" s="174"/>
      <c r="R83" s="12"/>
      <c r="S83" s="12"/>
      <c r="T83" s="12"/>
      <c r="V83" s="82"/>
    </row>
    <row r="84" spans="1:22" outlineLevel="1" x14ac:dyDescent="0.25">
      <c r="B84" s="48"/>
      <c r="C84" s="48"/>
      <c r="D84" s="48"/>
      <c r="E84" s="48"/>
      <c r="F84" s="48"/>
      <c r="G84" s="186"/>
      <c r="R84" s="12"/>
      <c r="S84" s="12"/>
      <c r="T84" s="12"/>
      <c r="V84" s="82"/>
    </row>
    <row r="85" spans="1:22" outlineLevel="1" x14ac:dyDescent="0.25">
      <c r="A85" s="209" t="s">
        <v>95</v>
      </c>
      <c r="B85" s="57">
        <f>B76+B83</f>
        <v>0</v>
      </c>
      <c r="C85" s="57">
        <f>C76+C83</f>
        <v>0</v>
      </c>
      <c r="D85" s="57">
        <f>D76+D83</f>
        <v>0</v>
      </c>
      <c r="E85" s="57">
        <f>E76+E83</f>
        <v>0</v>
      </c>
      <c r="F85" s="57">
        <f>F76+F83</f>
        <v>0</v>
      </c>
      <c r="G85" s="210">
        <f>SUM(B85:F85)</f>
        <v>0</v>
      </c>
      <c r="H85" s="174"/>
      <c r="R85" s="12"/>
      <c r="S85" s="12"/>
      <c r="T85" s="12"/>
      <c r="V85" s="82"/>
    </row>
    <row r="86" spans="1:22" outlineLevel="1" x14ac:dyDescent="0.25">
      <c r="A86" s="173"/>
      <c r="B86" s="59"/>
      <c r="C86" s="59"/>
      <c r="D86" s="59"/>
      <c r="E86" s="59"/>
      <c r="F86" s="59"/>
      <c r="G86" s="60"/>
      <c r="H86" s="25"/>
      <c r="R86" s="12"/>
      <c r="S86" s="12"/>
      <c r="T86" s="12"/>
      <c r="V86" s="82"/>
    </row>
    <row r="87" spans="1:22" outlineLevel="1" x14ac:dyDescent="0.25">
      <c r="A87" s="211" t="s">
        <v>39</v>
      </c>
      <c r="B87" s="48"/>
      <c r="C87" s="48"/>
      <c r="D87" s="48"/>
      <c r="E87" s="48"/>
      <c r="F87" s="48"/>
      <c r="G87" s="186"/>
      <c r="R87" s="12"/>
      <c r="S87" s="12"/>
      <c r="T87" s="12"/>
      <c r="V87" s="82"/>
    </row>
    <row r="88" spans="1:22" outlineLevel="1" x14ac:dyDescent="0.25">
      <c r="A88" s="331" t="s">
        <v>41</v>
      </c>
      <c r="B88" s="281">
        <v>0</v>
      </c>
      <c r="C88" s="281">
        <v>0</v>
      </c>
      <c r="D88" s="281">
        <v>0</v>
      </c>
      <c r="E88" s="281">
        <v>0</v>
      </c>
      <c r="F88" s="281">
        <v>0</v>
      </c>
      <c r="G88" s="186">
        <f>SUM(B88:F88)</f>
        <v>0</v>
      </c>
      <c r="H88" s="193"/>
      <c r="R88" s="12"/>
      <c r="S88" s="12"/>
      <c r="T88" s="12"/>
      <c r="V88" s="82"/>
    </row>
    <row r="89" spans="1:22" outlineLevel="1" x14ac:dyDescent="0.25">
      <c r="A89" s="331" t="s">
        <v>42</v>
      </c>
      <c r="B89" s="281">
        <v>0</v>
      </c>
      <c r="C89" s="281">
        <v>0</v>
      </c>
      <c r="D89" s="281">
        <v>0</v>
      </c>
      <c r="E89" s="281">
        <v>0</v>
      </c>
      <c r="F89" s="281">
        <v>0</v>
      </c>
      <c r="G89" s="186">
        <f>SUM(B89:F89)</f>
        <v>0</v>
      </c>
      <c r="H89" s="193"/>
      <c r="R89" s="12"/>
      <c r="S89" s="12"/>
      <c r="T89" s="12"/>
      <c r="V89" s="82"/>
    </row>
    <row r="90" spans="1:22" outlineLevel="1" x14ac:dyDescent="0.25">
      <c r="A90" s="331" t="s">
        <v>43</v>
      </c>
      <c r="B90" s="281">
        <v>0</v>
      </c>
      <c r="C90" s="281">
        <v>0</v>
      </c>
      <c r="D90" s="281">
        <v>0</v>
      </c>
      <c r="E90" s="281">
        <v>0</v>
      </c>
      <c r="F90" s="281">
        <v>0</v>
      </c>
      <c r="G90" s="186">
        <f>SUM(B90:F90)</f>
        <v>0</v>
      </c>
      <c r="H90" s="193"/>
      <c r="R90" s="12"/>
      <c r="S90" s="12"/>
      <c r="T90" s="12"/>
      <c r="V90" s="82"/>
    </row>
    <row r="91" spans="1:22" outlineLevel="1" x14ac:dyDescent="0.25">
      <c r="A91" s="205" t="s">
        <v>40</v>
      </c>
      <c r="B91" s="53">
        <f>ROUND(SUM(B88:B90),0)</f>
        <v>0</v>
      </c>
      <c r="C91" s="53">
        <f t="shared" ref="C91:F91" si="63">ROUND(SUM(C88:C90),0)</f>
        <v>0</v>
      </c>
      <c r="D91" s="53">
        <f t="shared" si="63"/>
        <v>0</v>
      </c>
      <c r="E91" s="53">
        <f t="shared" si="63"/>
        <v>0</v>
      </c>
      <c r="F91" s="53">
        <f t="shared" si="63"/>
        <v>0</v>
      </c>
      <c r="G91" s="53">
        <f>SUM(B91:F91)</f>
        <v>0</v>
      </c>
      <c r="H91" s="24"/>
      <c r="R91" s="12"/>
      <c r="S91" s="12"/>
      <c r="T91" s="12"/>
      <c r="V91" s="82"/>
    </row>
    <row r="92" spans="1:22" outlineLevel="1" x14ac:dyDescent="0.25">
      <c r="B92" s="52"/>
      <c r="C92" s="52"/>
      <c r="D92" s="48"/>
      <c r="E92" s="48"/>
      <c r="F92" s="48"/>
      <c r="G92" s="186"/>
      <c r="R92" s="12"/>
      <c r="S92" s="12"/>
      <c r="T92" s="12"/>
      <c r="V92" s="82"/>
    </row>
    <row r="93" spans="1:22" outlineLevel="1" x14ac:dyDescent="0.25">
      <c r="A93" s="178" t="s">
        <v>11</v>
      </c>
      <c r="B93" s="60"/>
      <c r="C93" s="60"/>
      <c r="D93" s="60"/>
      <c r="E93" s="60"/>
      <c r="F93" s="60"/>
      <c r="G93" s="60"/>
      <c r="H93" s="25"/>
      <c r="R93" s="12"/>
      <c r="S93" s="12"/>
      <c r="T93" s="12"/>
      <c r="V93" s="82"/>
    </row>
    <row r="94" spans="1:22" outlineLevel="1" x14ac:dyDescent="0.25">
      <c r="A94" s="192" t="s">
        <v>98</v>
      </c>
      <c r="B94" s="320">
        <v>0</v>
      </c>
      <c r="C94" s="320">
        <v>0</v>
      </c>
      <c r="D94" s="320">
        <v>0</v>
      </c>
      <c r="E94" s="320">
        <v>0</v>
      </c>
      <c r="F94" s="320">
        <v>0</v>
      </c>
      <c r="G94" s="60">
        <f>SUM(B94:F94)</f>
        <v>0</v>
      </c>
      <c r="H94" s="25"/>
      <c r="R94" s="12"/>
      <c r="S94" s="12"/>
      <c r="T94" s="12"/>
      <c r="V94" s="82"/>
    </row>
    <row r="95" spans="1:22" outlineLevel="1" x14ac:dyDescent="0.25">
      <c r="A95" s="192" t="s">
        <v>99</v>
      </c>
      <c r="B95" s="320">
        <v>0</v>
      </c>
      <c r="C95" s="320">
        <v>0</v>
      </c>
      <c r="D95" s="320">
        <v>0</v>
      </c>
      <c r="E95" s="320">
        <v>0</v>
      </c>
      <c r="F95" s="320">
        <v>0</v>
      </c>
      <c r="G95" s="60">
        <f>SUM(B95:F95)</f>
        <v>0</v>
      </c>
      <c r="H95" s="25"/>
      <c r="R95" s="12"/>
      <c r="S95" s="12"/>
      <c r="T95" s="12"/>
      <c r="V95" s="82"/>
    </row>
    <row r="96" spans="1:22" outlineLevel="1" x14ac:dyDescent="0.25">
      <c r="A96" s="205" t="s">
        <v>12</v>
      </c>
      <c r="B96" s="62">
        <f>ROUND(SUM(B94:B95),0)</f>
        <v>0</v>
      </c>
      <c r="C96" s="62">
        <f t="shared" ref="C96:F96" si="64">ROUND(SUM(C94:C95),0)</f>
        <v>0</v>
      </c>
      <c r="D96" s="62">
        <f t="shared" si="64"/>
        <v>0</v>
      </c>
      <c r="E96" s="62">
        <f t="shared" si="64"/>
        <v>0</v>
      </c>
      <c r="F96" s="62">
        <f t="shared" si="64"/>
        <v>0</v>
      </c>
      <c r="G96" s="53">
        <f>SUM(B96:F96)</f>
        <v>0</v>
      </c>
      <c r="H96" s="24"/>
      <c r="R96" s="12"/>
      <c r="S96" s="12"/>
      <c r="T96" s="12"/>
      <c r="V96" s="82"/>
    </row>
    <row r="97" spans="1:22" outlineLevel="1" x14ac:dyDescent="0.25">
      <c r="B97" s="48"/>
      <c r="C97" s="48"/>
      <c r="D97" s="48"/>
      <c r="E97" s="48"/>
      <c r="F97" s="48"/>
      <c r="G97" s="186"/>
      <c r="R97" s="12"/>
      <c r="S97" s="12"/>
      <c r="T97" s="12"/>
      <c r="V97" s="82"/>
    </row>
    <row r="98" spans="1:22" outlineLevel="1" x14ac:dyDescent="0.25">
      <c r="A98" s="173" t="s">
        <v>44</v>
      </c>
      <c r="B98" s="48"/>
      <c r="C98" s="48"/>
      <c r="D98" s="48"/>
      <c r="E98" s="48"/>
      <c r="F98" s="48"/>
      <c r="G98" s="186"/>
      <c r="R98" s="12"/>
      <c r="S98" s="12"/>
      <c r="T98" s="12"/>
      <c r="V98" s="82"/>
    </row>
    <row r="99" spans="1:22" outlineLevel="1" x14ac:dyDescent="0.25">
      <c r="A99" s="212" t="s">
        <v>44</v>
      </c>
      <c r="B99" s="321">
        <v>0</v>
      </c>
      <c r="C99" s="321">
        <v>0</v>
      </c>
      <c r="D99" s="321">
        <v>0</v>
      </c>
      <c r="E99" s="321">
        <v>0</v>
      </c>
      <c r="F99" s="321">
        <v>0</v>
      </c>
      <c r="G99" s="206">
        <f>SUM(B99:F99)</f>
        <v>0</v>
      </c>
      <c r="R99" s="12"/>
      <c r="S99" s="12"/>
      <c r="T99" s="12"/>
      <c r="V99" s="82"/>
    </row>
    <row r="100" spans="1:22" x14ac:dyDescent="0.25">
      <c r="A100" s="205" t="s">
        <v>161</v>
      </c>
      <c r="B100" s="62">
        <f>ROUND(SUM(B99),0)</f>
        <v>0</v>
      </c>
      <c r="C100" s="62">
        <f t="shared" ref="C100:F100" si="65">ROUND(SUM(C99),0)</f>
        <v>0</v>
      </c>
      <c r="D100" s="62">
        <f t="shared" si="65"/>
        <v>0</v>
      </c>
      <c r="E100" s="62">
        <f t="shared" si="65"/>
        <v>0</v>
      </c>
      <c r="F100" s="62">
        <f t="shared" si="65"/>
        <v>0</v>
      </c>
      <c r="G100" s="53">
        <f>SUM(B100:F100)</f>
        <v>0</v>
      </c>
      <c r="H100" s="24"/>
      <c r="P100" s="138"/>
      <c r="Q100" s="138"/>
      <c r="R100" s="12"/>
      <c r="S100" s="12"/>
      <c r="T100" s="12"/>
    </row>
    <row r="101" spans="1:22" outlineLevel="1" x14ac:dyDescent="0.25">
      <c r="B101" s="48"/>
      <c r="C101" s="48"/>
      <c r="D101" s="48"/>
      <c r="E101" s="48"/>
      <c r="F101" s="48"/>
      <c r="G101" s="186"/>
      <c r="R101" s="12"/>
      <c r="S101" s="12"/>
      <c r="T101" s="12"/>
      <c r="V101" s="82"/>
    </row>
    <row r="102" spans="1:22" x14ac:dyDescent="0.25">
      <c r="A102" s="213" t="s">
        <v>33</v>
      </c>
      <c r="B102" s="59"/>
      <c r="C102" s="59"/>
      <c r="D102" s="48"/>
      <c r="E102" s="48"/>
      <c r="F102" s="48"/>
      <c r="G102" s="186"/>
      <c r="R102" s="12"/>
      <c r="S102" s="12"/>
      <c r="T102" s="12"/>
      <c r="V102" s="82"/>
    </row>
    <row r="103" spans="1:22" x14ac:dyDescent="0.25">
      <c r="A103" s="212" t="s">
        <v>31</v>
      </c>
      <c r="B103" s="321">
        <f>SUM(J52,J57,J62)</f>
        <v>0</v>
      </c>
      <c r="C103" s="321">
        <f t="shared" ref="C103:F103" si="66">SUM(K52,K57,K62)</f>
        <v>0</v>
      </c>
      <c r="D103" s="321">
        <f t="shared" si="66"/>
        <v>0</v>
      </c>
      <c r="E103" s="321">
        <f t="shared" si="66"/>
        <v>0</v>
      </c>
      <c r="F103" s="321">
        <f t="shared" si="66"/>
        <v>0</v>
      </c>
      <c r="G103" s="206">
        <f>SUM(B103:F103)</f>
        <v>0</v>
      </c>
      <c r="R103" s="12"/>
      <c r="S103" s="12"/>
      <c r="T103" s="12"/>
      <c r="V103" s="82"/>
    </row>
    <row r="104" spans="1:22" x14ac:dyDescent="0.25">
      <c r="A104" s="212" t="s">
        <v>97</v>
      </c>
      <c r="B104" s="322">
        <v>0</v>
      </c>
      <c r="C104" s="322">
        <v>0</v>
      </c>
      <c r="D104" s="322">
        <v>0</v>
      </c>
      <c r="E104" s="322">
        <v>0</v>
      </c>
      <c r="F104" s="322">
        <v>0</v>
      </c>
      <c r="G104" s="206">
        <f>SUM(B104:F104)</f>
        <v>0</v>
      </c>
      <c r="H104" s="174"/>
      <c r="R104" s="12"/>
      <c r="S104" s="12"/>
      <c r="T104" s="12"/>
      <c r="V104" s="82"/>
    </row>
    <row r="105" spans="1:22" outlineLevel="1" x14ac:dyDescent="0.25">
      <c r="A105" s="212"/>
      <c r="B105" s="64"/>
      <c r="C105" s="64"/>
      <c r="D105" s="64"/>
      <c r="E105" s="64"/>
      <c r="F105" s="64"/>
      <c r="G105" s="206"/>
      <c r="R105" s="12"/>
      <c r="S105" s="12"/>
      <c r="T105" s="12"/>
      <c r="V105" s="82"/>
    </row>
    <row r="106" spans="1:22" outlineLevel="1" x14ac:dyDescent="0.25">
      <c r="A106" s="332" t="s">
        <v>88</v>
      </c>
      <c r="B106" s="281">
        <v>0</v>
      </c>
      <c r="C106" s="281">
        <v>0</v>
      </c>
      <c r="D106" s="281">
        <v>0</v>
      </c>
      <c r="E106" s="281">
        <v>0</v>
      </c>
      <c r="F106" s="281">
        <v>0</v>
      </c>
      <c r="G106" s="186">
        <f>SUM(B106:F106)</f>
        <v>0</v>
      </c>
      <c r="H106" s="193"/>
      <c r="R106" s="12"/>
      <c r="S106" s="12"/>
      <c r="T106" s="12"/>
      <c r="V106" s="82"/>
    </row>
    <row r="107" spans="1:22" outlineLevel="1" x14ac:dyDescent="0.25">
      <c r="A107" s="332" t="s">
        <v>89</v>
      </c>
      <c r="B107" s="281">
        <v>0</v>
      </c>
      <c r="C107" s="281">
        <v>0</v>
      </c>
      <c r="D107" s="281">
        <v>0</v>
      </c>
      <c r="E107" s="281">
        <v>0</v>
      </c>
      <c r="F107" s="281">
        <v>0</v>
      </c>
      <c r="G107" s="186">
        <f t="shared" ref="G107:G111" si="67">SUM(B107:F107)</f>
        <v>0</v>
      </c>
      <c r="H107" s="193"/>
      <c r="R107" s="12"/>
      <c r="S107" s="12"/>
      <c r="T107" s="12"/>
      <c r="V107" s="82"/>
    </row>
    <row r="108" spans="1:22" x14ac:dyDescent="0.25">
      <c r="A108" s="332" t="s">
        <v>90</v>
      </c>
      <c r="B108" s="281">
        <v>0</v>
      </c>
      <c r="C108" s="281">
        <v>0</v>
      </c>
      <c r="D108" s="281">
        <v>0</v>
      </c>
      <c r="E108" s="281">
        <v>0</v>
      </c>
      <c r="F108" s="281">
        <v>0</v>
      </c>
      <c r="G108" s="186">
        <f t="shared" si="67"/>
        <v>0</v>
      </c>
      <c r="H108" s="193"/>
      <c r="R108" s="12"/>
      <c r="S108" s="12"/>
      <c r="T108" s="12"/>
      <c r="V108" s="82"/>
    </row>
    <row r="109" spans="1:22" x14ac:dyDescent="0.25">
      <c r="A109" s="332" t="s">
        <v>91</v>
      </c>
      <c r="B109" s="281">
        <v>0</v>
      </c>
      <c r="C109" s="281">
        <v>0</v>
      </c>
      <c r="D109" s="281">
        <v>0</v>
      </c>
      <c r="E109" s="281">
        <v>0</v>
      </c>
      <c r="F109" s="281">
        <v>0</v>
      </c>
      <c r="G109" s="186">
        <f t="shared" si="67"/>
        <v>0</v>
      </c>
      <c r="H109" s="193"/>
      <c r="R109" s="12"/>
      <c r="S109" s="12"/>
      <c r="T109" s="12"/>
      <c r="V109" s="82"/>
    </row>
    <row r="110" spans="1:22" x14ac:dyDescent="0.25">
      <c r="A110" s="332" t="s">
        <v>102</v>
      </c>
      <c r="B110" s="281">
        <v>0</v>
      </c>
      <c r="C110" s="281">
        <v>0</v>
      </c>
      <c r="D110" s="281">
        <v>0</v>
      </c>
      <c r="E110" s="281">
        <v>0</v>
      </c>
      <c r="F110" s="281">
        <v>0</v>
      </c>
      <c r="G110" s="186">
        <f t="shared" si="67"/>
        <v>0</v>
      </c>
      <c r="H110" s="193"/>
      <c r="R110" s="12"/>
      <c r="S110" s="12"/>
      <c r="T110" s="12"/>
      <c r="V110" s="82"/>
    </row>
    <row r="111" spans="1:22" outlineLevel="1" x14ac:dyDescent="0.25">
      <c r="A111" s="333" t="s">
        <v>103</v>
      </c>
      <c r="B111" s="281">
        <v>0</v>
      </c>
      <c r="C111" s="281">
        <v>0</v>
      </c>
      <c r="D111" s="281">
        <v>0</v>
      </c>
      <c r="E111" s="281">
        <v>0</v>
      </c>
      <c r="F111" s="281">
        <v>0</v>
      </c>
      <c r="G111" s="186">
        <f t="shared" si="67"/>
        <v>0</v>
      </c>
      <c r="H111" s="193"/>
      <c r="R111" s="12"/>
      <c r="S111" s="12"/>
      <c r="T111" s="12"/>
      <c r="V111" s="82"/>
    </row>
    <row r="112" spans="1:22" outlineLevel="1" x14ac:dyDescent="0.25">
      <c r="A112" s="214" t="s">
        <v>87</v>
      </c>
      <c r="B112" s="50">
        <f>SUM(B106:B111)</f>
        <v>0</v>
      </c>
      <c r="C112" s="50">
        <f t="shared" ref="C112:F112" si="68">SUM(C106:C111)</f>
        <v>0</v>
      </c>
      <c r="D112" s="50">
        <f t="shared" si="68"/>
        <v>0</v>
      </c>
      <c r="E112" s="50">
        <f t="shared" si="68"/>
        <v>0</v>
      </c>
      <c r="F112" s="50">
        <f t="shared" si="68"/>
        <v>0</v>
      </c>
      <c r="G112" s="215">
        <f>SUM(B112:F112)</f>
        <v>0</v>
      </c>
      <c r="H112" s="24"/>
      <c r="R112" s="12"/>
      <c r="S112" s="12"/>
      <c r="T112" s="12"/>
      <c r="V112" s="82"/>
    </row>
    <row r="113" spans="1:22" x14ac:dyDescent="0.25">
      <c r="A113" s="216"/>
      <c r="B113" s="65"/>
      <c r="C113" s="65"/>
      <c r="D113" s="65"/>
      <c r="E113" s="65"/>
      <c r="F113" s="65"/>
      <c r="G113" s="65"/>
      <c r="H113" s="24"/>
      <c r="R113" s="12"/>
      <c r="S113" s="12"/>
      <c r="T113" s="12"/>
      <c r="V113" s="82"/>
    </row>
    <row r="114" spans="1:22" x14ac:dyDescent="0.25">
      <c r="A114" s="217" t="s">
        <v>38</v>
      </c>
      <c r="B114" s="62">
        <f>ROUND(SUM(B103:B104,B112),0)</f>
        <v>0</v>
      </c>
      <c r="C114" s="62">
        <f t="shared" ref="C114:F114" si="69">ROUND(SUM(C103:C104,C112),0)</f>
        <v>0</v>
      </c>
      <c r="D114" s="62">
        <f t="shared" si="69"/>
        <v>0</v>
      </c>
      <c r="E114" s="62">
        <f t="shared" si="69"/>
        <v>0</v>
      </c>
      <c r="F114" s="62">
        <f t="shared" si="69"/>
        <v>0</v>
      </c>
      <c r="G114" s="53">
        <f>SUM(B114:F114)</f>
        <v>0</v>
      </c>
      <c r="H114" s="24"/>
      <c r="R114" s="12"/>
      <c r="S114" s="12"/>
      <c r="T114" s="12"/>
      <c r="V114" s="82"/>
    </row>
    <row r="115" spans="1:22" x14ac:dyDescent="0.25">
      <c r="A115" s="218"/>
      <c r="B115" s="66"/>
      <c r="C115" s="66"/>
      <c r="D115" s="67"/>
      <c r="E115" s="67"/>
      <c r="F115" s="67"/>
      <c r="G115" s="206"/>
      <c r="R115" s="12"/>
      <c r="S115" s="12"/>
      <c r="T115" s="12"/>
      <c r="V115" s="82"/>
    </row>
    <row r="116" spans="1:22" outlineLevel="1" x14ac:dyDescent="0.25">
      <c r="A116" s="219" t="s">
        <v>92</v>
      </c>
      <c r="B116" s="92">
        <f>B118-B107-B109-B111</f>
        <v>0</v>
      </c>
      <c r="C116" s="92">
        <f t="shared" ref="C116:F116" si="70">C118-C107-C109-C111</f>
        <v>0</v>
      </c>
      <c r="D116" s="92">
        <f t="shared" si="70"/>
        <v>0</v>
      </c>
      <c r="E116" s="92">
        <f t="shared" si="70"/>
        <v>0</v>
      </c>
      <c r="F116" s="92">
        <f t="shared" si="70"/>
        <v>0</v>
      </c>
      <c r="G116" s="93">
        <f>SUM(B116:F116)</f>
        <v>0</v>
      </c>
      <c r="R116" s="12"/>
      <c r="S116" s="12"/>
      <c r="T116" s="12"/>
      <c r="V116" s="82"/>
    </row>
    <row r="117" spans="1:22" outlineLevel="1" x14ac:dyDescent="0.25">
      <c r="A117" s="218"/>
      <c r="B117" s="66"/>
      <c r="C117" s="66"/>
      <c r="D117" s="67"/>
      <c r="E117" s="67"/>
      <c r="F117" s="67"/>
      <c r="G117" s="206"/>
      <c r="R117" s="12"/>
      <c r="S117" s="12"/>
      <c r="T117" s="12"/>
      <c r="V117" s="82"/>
    </row>
    <row r="118" spans="1:22" outlineLevel="1" x14ac:dyDescent="0.25">
      <c r="A118" s="213" t="s">
        <v>2</v>
      </c>
      <c r="B118" s="68">
        <f>SUM(B85,B91,B96,B100,B114)</f>
        <v>0</v>
      </c>
      <c r="C118" s="68">
        <f t="shared" ref="C118:F118" si="71">SUM(C85,C91,C96,C100,C114)</f>
        <v>0</v>
      </c>
      <c r="D118" s="68">
        <f t="shared" si="71"/>
        <v>0</v>
      </c>
      <c r="E118" s="68">
        <f t="shared" si="71"/>
        <v>0</v>
      </c>
      <c r="F118" s="68">
        <f t="shared" si="71"/>
        <v>0</v>
      </c>
      <c r="G118" s="206">
        <f t="shared" ref="G118:G123" si="72">SUM(B118:F118)</f>
        <v>0</v>
      </c>
      <c r="H118" s="174"/>
      <c r="R118" s="12"/>
      <c r="S118" s="12"/>
      <c r="T118" s="12"/>
      <c r="V118" s="82"/>
    </row>
    <row r="119" spans="1:22" outlineLevel="1" x14ac:dyDescent="0.25">
      <c r="A119" s="212" t="s">
        <v>45</v>
      </c>
      <c r="B119" s="81">
        <f>-B91</f>
        <v>0</v>
      </c>
      <c r="C119" s="81">
        <f>-C91</f>
        <v>0</v>
      </c>
      <c r="D119" s="81">
        <f>-D91</f>
        <v>0</v>
      </c>
      <c r="E119" s="81">
        <f>-E91</f>
        <v>0</v>
      </c>
      <c r="F119" s="81">
        <f>-F91</f>
        <v>0</v>
      </c>
      <c r="G119" s="206">
        <f t="shared" si="72"/>
        <v>0</v>
      </c>
      <c r="H119" s="174"/>
      <c r="R119" s="12"/>
      <c r="S119" s="12"/>
      <c r="T119" s="12"/>
      <c r="V119" s="82"/>
    </row>
    <row r="120" spans="1:22" outlineLevel="1" x14ac:dyDescent="0.25">
      <c r="A120" s="220" t="s">
        <v>32</v>
      </c>
      <c r="B120" s="81">
        <f>-B103</f>
        <v>0</v>
      </c>
      <c r="C120" s="81">
        <f>-C103</f>
        <v>0</v>
      </c>
      <c r="D120" s="81">
        <f>-D103</f>
        <v>0</v>
      </c>
      <c r="E120" s="68">
        <f>-E103</f>
        <v>0</v>
      </c>
      <c r="F120" s="68">
        <f>-F103</f>
        <v>0</v>
      </c>
      <c r="G120" s="206">
        <f t="shared" si="72"/>
        <v>0</v>
      </c>
      <c r="H120" s="174"/>
      <c r="R120" s="12"/>
      <c r="S120" s="12"/>
      <c r="T120" s="12"/>
      <c r="V120" s="82"/>
    </row>
    <row r="121" spans="1:22" outlineLevel="1" x14ac:dyDescent="0.25">
      <c r="A121" s="220" t="s">
        <v>47</v>
      </c>
      <c r="B121" s="91">
        <f>-B100</f>
        <v>0</v>
      </c>
      <c r="C121" s="91">
        <f t="shared" ref="C121:F121" si="73">-C100</f>
        <v>0</v>
      </c>
      <c r="D121" s="91">
        <f t="shared" si="73"/>
        <v>0</v>
      </c>
      <c r="E121" s="91">
        <f t="shared" si="73"/>
        <v>0</v>
      </c>
      <c r="F121" s="91">
        <f t="shared" si="73"/>
        <v>0</v>
      </c>
      <c r="G121" s="206">
        <f t="shared" si="72"/>
        <v>0</v>
      </c>
      <c r="H121" s="174"/>
      <c r="R121" s="12"/>
      <c r="S121" s="12"/>
      <c r="T121" s="12"/>
      <c r="V121" s="82"/>
    </row>
    <row r="122" spans="1:22" outlineLevel="1" x14ac:dyDescent="0.25">
      <c r="A122" s="220" t="s">
        <v>46</v>
      </c>
      <c r="B122" s="325">
        <v>0</v>
      </c>
      <c r="C122" s="325">
        <v>0</v>
      </c>
      <c r="D122" s="325">
        <v>0</v>
      </c>
      <c r="E122" s="325">
        <v>0</v>
      </c>
      <c r="F122" s="325">
        <v>0</v>
      </c>
      <c r="G122" s="186">
        <f t="shared" si="72"/>
        <v>0</v>
      </c>
      <c r="H122" s="174"/>
      <c r="R122" s="12"/>
      <c r="S122" s="12"/>
      <c r="T122" s="12"/>
      <c r="V122" s="82"/>
    </row>
    <row r="123" spans="1:22" x14ac:dyDescent="0.25">
      <c r="A123" s="205" t="s">
        <v>13</v>
      </c>
      <c r="B123" s="53">
        <f>ROUND(SUM(B118:B122),0)</f>
        <v>0</v>
      </c>
      <c r="C123" s="53">
        <f t="shared" ref="C123:F123" si="74">ROUND(SUM(C118:C122),0)</f>
        <v>0</v>
      </c>
      <c r="D123" s="53">
        <f t="shared" si="74"/>
        <v>0</v>
      </c>
      <c r="E123" s="53">
        <f t="shared" si="74"/>
        <v>0</v>
      </c>
      <c r="F123" s="53">
        <f t="shared" si="74"/>
        <v>0</v>
      </c>
      <c r="G123" s="215">
        <f t="shared" si="72"/>
        <v>0</v>
      </c>
      <c r="H123" s="174"/>
      <c r="P123" s="177" t="s">
        <v>134</v>
      </c>
      <c r="Q123" s="177" t="s">
        <v>133</v>
      </c>
      <c r="R123" s="12"/>
      <c r="S123" s="12"/>
      <c r="T123" s="12"/>
      <c r="V123" s="82"/>
    </row>
    <row r="124" spans="1:22" x14ac:dyDescent="0.25">
      <c r="A124" s="221"/>
      <c r="B124" s="69"/>
      <c r="C124" s="69"/>
      <c r="D124" s="48"/>
      <c r="E124" s="48"/>
      <c r="F124" s="48"/>
      <c r="G124" s="186"/>
      <c r="P124" s="222"/>
      <c r="Q124" s="138" t="s">
        <v>124</v>
      </c>
      <c r="R124" s="12"/>
      <c r="S124" s="12"/>
      <c r="T124" s="12"/>
      <c r="V124" s="82"/>
    </row>
    <row r="125" spans="1:22" x14ac:dyDescent="0.25">
      <c r="A125" s="178" t="s">
        <v>30</v>
      </c>
      <c r="B125" s="69"/>
      <c r="C125" s="69"/>
      <c r="D125" s="48"/>
      <c r="E125" s="48"/>
      <c r="F125" s="48"/>
      <c r="G125" s="186"/>
      <c r="I125" s="177" t="s">
        <v>123</v>
      </c>
      <c r="J125" s="223" t="s">
        <v>125</v>
      </c>
      <c r="P125" s="138"/>
      <c r="Q125" s="138" t="s">
        <v>135</v>
      </c>
      <c r="R125" s="12"/>
      <c r="S125" s="12"/>
      <c r="T125" s="12"/>
      <c r="V125" s="82"/>
    </row>
    <row r="126" spans="1:22" x14ac:dyDescent="0.25">
      <c r="A126" s="220" t="str">
        <f>IF(J126="TC","F&amp;A Costs @ "&amp;ROUND(I126/(1-I126),4)*100&amp;"% TDC or " &amp;I126*100&amp;"% TC", "F&amp;A Costs @ "&amp;I126*100&amp;"% "&amp;J126)</f>
        <v>F&amp;A Costs @ 0% MTDC</v>
      </c>
      <c r="B126" s="48">
        <f>IF($J$126="MTDC",(B123*$I$126),IF($J$126="TDC",(B118*$I$126),IF($J$126="TC",(B118*($I$126/(1-$I$126))))))</f>
        <v>0</v>
      </c>
      <c r="C126" s="48">
        <f t="shared" ref="C126:E126" si="75">IF($J$126="MTDC",(C123*$I$126),IF($J$126="TDC",(C118*$I$126),IF($J$126="TC",(C118*($I$126/(1-$I$126))))))</f>
        <v>0</v>
      </c>
      <c r="D126" s="48">
        <f t="shared" si="75"/>
        <v>0</v>
      </c>
      <c r="E126" s="48">
        <f t="shared" si="75"/>
        <v>0</v>
      </c>
      <c r="F126" s="48">
        <f>IF($J$126="MTDC",(F123*$I$126),IF($J$126="TDC",(F118*$I$126),IF($J$126="TC",(F118*($I$126/(1-$I$126))))))</f>
        <v>0</v>
      </c>
      <c r="G126" s="186">
        <f>SUM(B126:F126)</f>
        <v>0</v>
      </c>
      <c r="H126" s="174"/>
      <c r="I126" s="330">
        <v>0</v>
      </c>
      <c r="J126" s="329" t="s">
        <v>124</v>
      </c>
      <c r="P126" s="138"/>
      <c r="Q126" s="138" t="s">
        <v>136</v>
      </c>
      <c r="R126" s="12"/>
      <c r="S126" s="12"/>
      <c r="T126" s="12"/>
      <c r="V126" s="82"/>
    </row>
    <row r="127" spans="1:22" x14ac:dyDescent="0.25">
      <c r="A127" s="205" t="s">
        <v>53</v>
      </c>
      <c r="B127" s="53">
        <f>ROUND(SUM(B126:B126),0)</f>
        <v>0</v>
      </c>
      <c r="C127" s="53">
        <f t="shared" ref="C127:F127" si="76">ROUND(SUM(C126:C126),0)</f>
        <v>0</v>
      </c>
      <c r="D127" s="53">
        <f t="shared" si="76"/>
        <v>0</v>
      </c>
      <c r="E127" s="53">
        <f t="shared" si="76"/>
        <v>0</v>
      </c>
      <c r="F127" s="53">
        <f t="shared" si="76"/>
        <v>0</v>
      </c>
      <c r="G127" s="215">
        <f>SUM(B127:F127)</f>
        <v>0</v>
      </c>
      <c r="H127" s="174"/>
      <c r="R127" s="12"/>
      <c r="S127" s="12"/>
      <c r="T127" s="12"/>
      <c r="V127" s="82"/>
    </row>
    <row r="128" spans="1:22" x14ac:dyDescent="0.25">
      <c r="A128" s="192"/>
      <c r="B128" s="48"/>
      <c r="C128" s="48"/>
      <c r="D128" s="48"/>
      <c r="E128" s="48"/>
      <c r="F128" s="48"/>
      <c r="G128" s="186"/>
      <c r="I128" s="224"/>
      <c r="R128" s="12"/>
      <c r="S128" s="12"/>
      <c r="T128" s="12"/>
      <c r="V128" s="82"/>
    </row>
    <row r="129" spans="1:22" x14ac:dyDescent="0.25">
      <c r="A129" s="209" t="s">
        <v>96</v>
      </c>
      <c r="B129" s="58">
        <f>B118+B127</f>
        <v>0</v>
      </c>
      <c r="C129" s="58">
        <f>C118+C127</f>
        <v>0</v>
      </c>
      <c r="D129" s="58">
        <f>D118+D127</f>
        <v>0</v>
      </c>
      <c r="E129" s="58">
        <f>E118+E127</f>
        <v>0</v>
      </c>
      <c r="F129" s="58">
        <f>F118+F127</f>
        <v>0</v>
      </c>
      <c r="G129" s="210">
        <f>SUM(B129:F129)</f>
        <v>0</v>
      </c>
      <c r="H129" s="174"/>
      <c r="R129" s="12"/>
      <c r="S129" s="12"/>
      <c r="T129" s="12"/>
      <c r="V129" s="82"/>
    </row>
    <row r="130" spans="1:22" ht="16.5" thickBot="1" x14ac:dyDescent="0.3">
      <c r="R130" s="12"/>
      <c r="S130" s="12"/>
      <c r="T130" s="12"/>
      <c r="V130" s="82"/>
    </row>
    <row r="131" spans="1:22" ht="45" customHeight="1" thickBot="1" x14ac:dyDescent="0.3">
      <c r="A131" s="417" t="s">
        <v>57</v>
      </c>
      <c r="B131" s="418"/>
      <c r="C131" s="418"/>
      <c r="D131" s="418"/>
      <c r="E131" s="418"/>
      <c r="F131" s="418"/>
      <c r="G131" s="419"/>
    </row>
    <row r="134" spans="1:22" x14ac:dyDescent="0.25">
      <c r="A134" s="225"/>
    </row>
  </sheetData>
  <sheetProtection formatCells="0" formatColumns="0" formatRows="0" insertRows="0" deleteColumns="0" deleteRows="0" selectLockedCells="1" sort="0"/>
  <mergeCells count="13">
    <mergeCell ref="A131:G131"/>
    <mergeCell ref="A27:A28"/>
    <mergeCell ref="A33:A34"/>
    <mergeCell ref="A39:A40"/>
    <mergeCell ref="A55:A56"/>
    <mergeCell ref="A60:A61"/>
    <mergeCell ref="A65:A66"/>
    <mergeCell ref="A21:A22"/>
    <mergeCell ref="I1:O1"/>
    <mergeCell ref="A2:G2"/>
    <mergeCell ref="A4:G4"/>
    <mergeCell ref="A9:A10"/>
    <mergeCell ref="A15:A16"/>
  </mergeCells>
  <dataValidations count="2">
    <dataValidation type="list" allowBlank="1" showInputMessage="1" showErrorMessage="1" sqref="U11 U17 U23 U29 U35 U41 U63 U58 U53" xr:uid="{00000000-0002-0000-0A00-000000000000}">
      <formula1>$R$3:$R$4</formula1>
    </dataValidation>
    <dataValidation type="list" allowBlank="1" showInputMessage="1" showErrorMessage="1" sqref="J126" xr:uid="{00000000-0002-0000-0A00-000001000000}">
      <formula1>$Q$124:$Q$126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Budget</vt:lpstr>
      <vt:lpstr>Travel</vt:lpstr>
      <vt:lpstr>Participant Support</vt:lpstr>
      <vt:lpstr>Cost Share</vt:lpstr>
      <vt:lpstr>Other Costs</vt:lpstr>
      <vt:lpstr>Subaward 1</vt:lpstr>
      <vt:lpstr>Subaward 2</vt:lpstr>
      <vt:lpstr>Subaward 3</vt:lpstr>
      <vt:lpstr>Subaward 4</vt:lpstr>
      <vt:lpstr>Subaward 5</vt:lpstr>
      <vt:lpstr>Budget!Print_Area</vt:lpstr>
      <vt:lpstr>'Subaward 1'!Print_Area</vt:lpstr>
      <vt:lpstr>'Subaward 2'!Print_Area</vt:lpstr>
      <vt:lpstr>'Subaward 3'!Print_Area</vt:lpstr>
      <vt:lpstr>'Subaward 4'!Print_Area</vt:lpstr>
      <vt:lpstr>'Subaward 5'!Print_Area</vt:lpstr>
    </vt:vector>
  </TitlesOfParts>
  <Company>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Ann M. Schultz;Engineering Research Administration Services;UAHS Research Administration</dc:creator>
  <cp:lastModifiedBy>Valencia, Angela C - (angelav)</cp:lastModifiedBy>
  <cp:lastPrinted>2016-09-13T15:47:25Z</cp:lastPrinted>
  <dcterms:created xsi:type="dcterms:W3CDTF">2005-05-18T15:40:21Z</dcterms:created>
  <dcterms:modified xsi:type="dcterms:W3CDTF">2023-03-08T19:54:58Z</dcterms:modified>
</cp:coreProperties>
</file>